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_Compliance\Best Execution_Current\Cost Analisys and Informing\"/>
    </mc:Choice>
  </mc:AlternateContent>
  <bookViews>
    <workbookView xWindow="0" yWindow="0" windowWidth="24000" windowHeight="9030"/>
  </bookViews>
  <sheets>
    <sheet name="“BCS Professional”¹" sheetId="1" r:id="rId1"/>
    <sheet name="Navigator" sheetId="10" r:id="rId2"/>
    <sheet name="“BCS Expert”" sheetId="13" r:id="rId3"/>
    <sheet name="BCS Promo" sheetId="11" r:id="rId4"/>
    <sheet name="Intern Exchange" sheetId="8" r:id="rId5"/>
    <sheet name="Voice Trading" sheetId="9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3" l="1"/>
  <c r="F22" i="13"/>
  <c r="G18" i="13"/>
  <c r="F18" i="13"/>
  <c r="E18" i="13"/>
  <c r="G8" i="13"/>
  <c r="G9" i="13"/>
  <c r="G10" i="13"/>
  <c r="G11" i="13"/>
  <c r="G12" i="13"/>
  <c r="G13" i="13"/>
  <c r="D8" i="13"/>
  <c r="D9" i="13"/>
  <c r="D10" i="13"/>
  <c r="D13" i="13"/>
  <c r="D12" i="13"/>
  <c r="D11" i="13"/>
  <c r="E5" i="13"/>
  <c r="F20" i="9"/>
  <c r="F34" i="9" s="1"/>
  <c r="F24" i="9"/>
  <c r="F9" i="9" s="1"/>
  <c r="E39" i="9"/>
  <c r="E9" i="9"/>
  <c r="G9" i="9" s="1"/>
  <c r="G24" i="9" s="1"/>
  <c r="D24" i="9"/>
  <c r="D25" i="9"/>
  <c r="E10" i="9"/>
  <c r="H10" i="9" s="1"/>
  <c r="H25" i="9" s="1"/>
  <c r="E11" i="9"/>
  <c r="H11" i="9" s="1"/>
  <c r="H26" i="9" s="1"/>
  <c r="E12" i="9"/>
  <c r="G12" i="9" s="1"/>
  <c r="G27" i="9" s="1"/>
  <c r="E13" i="9"/>
  <c r="G13" i="9" s="1"/>
  <c r="G28" i="9" s="1"/>
  <c r="D26" i="9"/>
  <c r="F25" i="9"/>
  <c r="F10" i="9" s="1"/>
  <c r="D28" i="9"/>
  <c r="F28" i="9"/>
  <c r="F13" i="9" s="1"/>
  <c r="H20" i="9"/>
  <c r="H34" i="9" s="1"/>
  <c r="G20" i="9"/>
  <c r="G34" i="9" s="1"/>
  <c r="E20" i="9"/>
  <c r="E34" i="9" s="1"/>
  <c r="K6" i="8"/>
  <c r="K13" i="8" s="1"/>
  <c r="K24" i="8"/>
  <c r="L24" i="8"/>
  <c r="M24" i="8"/>
  <c r="N24" i="8"/>
  <c r="O24" i="8"/>
  <c r="P24" i="8"/>
  <c r="Q24" i="8"/>
  <c r="J24" i="8"/>
  <c r="H6" i="8"/>
  <c r="H12" i="8" s="1"/>
  <c r="H9" i="9" l="1"/>
  <c r="H24" i="9" s="1"/>
  <c r="H38" i="9" s="1"/>
  <c r="G10" i="9"/>
  <c r="G25" i="9" s="1"/>
  <c r="G39" i="9"/>
  <c r="G11" i="9"/>
  <c r="G26" i="9" s="1"/>
  <c r="F39" i="9"/>
  <c r="G38" i="9"/>
  <c r="F38" i="9"/>
  <c r="H13" i="9"/>
  <c r="H28" i="9" s="1"/>
  <c r="H39" i="9" s="1"/>
  <c r="H12" i="9"/>
  <c r="H27" i="9" s="1"/>
  <c r="F26" i="9"/>
  <c r="F11" i="9" s="1"/>
  <c r="F27" i="9"/>
  <c r="F12" i="9" s="1"/>
  <c r="D27" i="9"/>
  <c r="H11" i="8"/>
  <c r="K12" i="8"/>
  <c r="K11" i="8"/>
  <c r="K14" i="8"/>
  <c r="H13" i="8"/>
  <c r="H14" i="8"/>
  <c r="G14" i="8"/>
  <c r="G13" i="8"/>
  <c r="G12" i="8"/>
  <c r="Q6" i="8"/>
  <c r="P6" i="8"/>
  <c r="O6" i="8"/>
  <c r="N6" i="8"/>
  <c r="M6" i="8"/>
  <c r="J6" i="8"/>
  <c r="I6" i="8"/>
  <c r="G11" i="8"/>
  <c r="D24" i="1"/>
  <c r="D23" i="1"/>
  <c r="D22" i="1"/>
  <c r="P11" i="8" l="1"/>
  <c r="P13" i="8"/>
  <c r="P14" i="8"/>
  <c r="P12" i="8"/>
  <c r="Q12" i="8"/>
  <c r="Q13" i="8"/>
  <c r="Q14" i="8"/>
  <c r="Q11" i="8"/>
  <c r="N11" i="8"/>
  <c r="N25" i="8" s="1"/>
  <c r="N14" i="8"/>
  <c r="N12" i="8"/>
  <c r="N13" i="8"/>
  <c r="O11" i="8"/>
  <c r="O13" i="8"/>
  <c r="O14" i="8"/>
  <c r="O12" i="8"/>
  <c r="M11" i="8"/>
  <c r="M12" i="8"/>
  <c r="M13" i="8"/>
  <c r="M14" i="8"/>
  <c r="K25" i="8"/>
  <c r="I11" i="8"/>
  <c r="I13" i="8"/>
  <c r="I12" i="8"/>
  <c r="I14" i="8"/>
  <c r="I26" i="8" s="1"/>
  <c r="J12" i="8"/>
  <c r="J13" i="8"/>
  <c r="J14" i="8"/>
  <c r="J21" i="8" s="1"/>
  <c r="J11" i="8"/>
  <c r="J20" i="8"/>
  <c r="K20" i="8"/>
  <c r="L20" i="8"/>
  <c r="M20" i="8"/>
  <c r="N20" i="8"/>
  <c r="N26" i="8" s="1"/>
  <c r="O20" i="8"/>
  <c r="O26" i="8" s="1"/>
  <c r="P20" i="8"/>
  <c r="P26" i="8" s="1"/>
  <c r="Q20" i="8"/>
  <c r="I20" i="8"/>
  <c r="H20" i="8"/>
  <c r="H26" i="8" s="1"/>
  <c r="G20" i="8"/>
  <c r="G26" i="8" s="1"/>
  <c r="F20" i="8"/>
  <c r="H11" i="11"/>
  <c r="H12" i="11"/>
  <c r="H10" i="11"/>
  <c r="H23" i="11" s="1"/>
  <c r="H9" i="11"/>
  <c r="I31" i="11"/>
  <c r="F31" i="11"/>
  <c r="G25" i="11"/>
  <c r="F25" i="11"/>
  <c r="H24" i="11"/>
  <c r="G24" i="11"/>
  <c r="F24" i="11"/>
  <c r="F11" i="11" s="1"/>
  <c r="G23" i="11"/>
  <c r="F23" i="11"/>
  <c r="F10" i="11" s="1"/>
  <c r="F22" i="11"/>
  <c r="I18" i="11"/>
  <c r="H18" i="11"/>
  <c r="H31" i="11" s="1"/>
  <c r="G18" i="11"/>
  <c r="F18" i="11"/>
  <c r="E18" i="11"/>
  <c r="E31" i="11" s="1"/>
  <c r="F12" i="11"/>
  <c r="E12" i="11"/>
  <c r="I25" i="11" s="1"/>
  <c r="I36" i="11" s="1"/>
  <c r="E11" i="11"/>
  <c r="I24" i="11" s="1"/>
  <c r="E10" i="11"/>
  <c r="I23" i="11" s="1"/>
  <c r="E9" i="11"/>
  <c r="I22" i="11" s="1"/>
  <c r="I35" i="11" s="1"/>
  <c r="E6" i="11"/>
  <c r="G9" i="11" s="1"/>
  <c r="G24" i="10"/>
  <c r="F24" i="10"/>
  <c r="G23" i="10"/>
  <c r="G10" i="10" s="1"/>
  <c r="F23" i="10"/>
  <c r="F10" i="10" s="1"/>
  <c r="G22" i="10"/>
  <c r="F22" i="10"/>
  <c r="F9" i="10" s="1"/>
  <c r="F21" i="10"/>
  <c r="I17" i="10"/>
  <c r="I30" i="10" s="1"/>
  <c r="H17" i="10"/>
  <c r="H30" i="10" s="1"/>
  <c r="G17" i="10"/>
  <c r="F17" i="10"/>
  <c r="F30" i="10" s="1"/>
  <c r="F35" i="10" s="1"/>
  <c r="E17" i="10"/>
  <c r="E30" i="10" s="1"/>
  <c r="H11" i="10"/>
  <c r="H24" i="10" s="1"/>
  <c r="H35" i="10" s="1"/>
  <c r="E11" i="10"/>
  <c r="I24" i="10" s="1"/>
  <c r="H10" i="10"/>
  <c r="H23" i="10" s="1"/>
  <c r="E10" i="10"/>
  <c r="I23" i="10" s="1"/>
  <c r="H9" i="10"/>
  <c r="H22" i="10" s="1"/>
  <c r="E9" i="10"/>
  <c r="I22" i="10" s="1"/>
  <c r="H8" i="10"/>
  <c r="H21" i="10" s="1"/>
  <c r="H34" i="10" s="1"/>
  <c r="F8" i="10"/>
  <c r="E8" i="10"/>
  <c r="I21" i="10" s="1"/>
  <c r="E5" i="10"/>
  <c r="G8" i="10" s="1"/>
  <c r="H9" i="1"/>
  <c r="H22" i="1" s="1"/>
  <c r="H10" i="1"/>
  <c r="H23" i="1" s="1"/>
  <c r="H11" i="1"/>
  <c r="H24" i="1" s="1"/>
  <c r="H8" i="1"/>
  <c r="H21" i="1" s="1"/>
  <c r="H34" i="1" s="1"/>
  <c r="F17" i="1"/>
  <c r="F30" i="1" s="1"/>
  <c r="F34" i="1" s="1"/>
  <c r="G17" i="1"/>
  <c r="G30" i="1" s="1"/>
  <c r="G34" i="1" s="1"/>
  <c r="H17" i="1"/>
  <c r="H30" i="1" s="1"/>
  <c r="I17" i="1"/>
  <c r="I30" i="1" s="1"/>
  <c r="E17" i="1"/>
  <c r="E30" i="1" s="1"/>
  <c r="F24" i="1"/>
  <c r="G11" i="11" l="1"/>
  <c r="F36" i="11"/>
  <c r="F35" i="11"/>
  <c r="G12" i="11"/>
  <c r="G10" i="11"/>
  <c r="I34" i="10"/>
  <c r="I35" i="10"/>
  <c r="F34" i="10"/>
  <c r="G9" i="10"/>
  <c r="H22" i="11"/>
  <c r="H35" i="11" s="1"/>
  <c r="G31" i="11"/>
  <c r="H25" i="11"/>
  <c r="H36" i="11" s="1"/>
  <c r="H25" i="8"/>
  <c r="I25" i="8"/>
  <c r="G25" i="8"/>
  <c r="O25" i="8"/>
  <c r="M26" i="8"/>
  <c r="M25" i="8"/>
  <c r="Q25" i="8"/>
  <c r="Q26" i="8"/>
  <c r="P25" i="8"/>
  <c r="J26" i="8"/>
  <c r="J25" i="8"/>
  <c r="L6" i="8"/>
  <c r="F9" i="11"/>
  <c r="F11" i="10"/>
  <c r="G11" i="10"/>
  <c r="G30" i="10"/>
  <c r="F35" i="1"/>
  <c r="H35" i="1"/>
  <c r="G24" i="1"/>
  <c r="G23" i="1"/>
  <c r="G22" i="1"/>
  <c r="G36" i="11" l="1"/>
  <c r="G35" i="11"/>
  <c r="G35" i="10"/>
  <c r="G34" i="10"/>
  <c r="L12" i="8"/>
  <c r="L13" i="8"/>
  <c r="L14" i="8"/>
  <c r="L26" i="8" s="1"/>
  <c r="L11" i="8"/>
  <c r="L25" i="8" s="1"/>
  <c r="G35" i="1"/>
  <c r="E9" i="1"/>
  <c r="I9" i="1" s="1"/>
  <c r="E10" i="1"/>
  <c r="I10" i="1" s="1"/>
  <c r="E11" i="1"/>
  <c r="I11" i="1" s="1"/>
  <c r="E8" i="1"/>
  <c r="E5" i="1"/>
  <c r="F11" i="1"/>
  <c r="F23" i="1"/>
  <c r="F22" i="1"/>
  <c r="F21" i="1"/>
  <c r="I8" i="1" l="1"/>
  <c r="I21" i="1"/>
  <c r="I34" i="1" s="1"/>
  <c r="F11" i="8"/>
  <c r="F25" i="8" s="1"/>
  <c r="F12" i="8"/>
  <c r="F13" i="8"/>
  <c r="H21" i="8"/>
  <c r="G21" i="8"/>
  <c r="N21" i="8"/>
  <c r="F14" i="8"/>
  <c r="L21" i="8"/>
  <c r="O21" i="8"/>
  <c r="I21" i="8"/>
  <c r="F9" i="1"/>
  <c r="F10" i="1"/>
  <c r="F8" i="1"/>
  <c r="G8" i="1"/>
  <c r="M21" i="8"/>
  <c r="Q21" i="8"/>
  <c r="G10" i="1"/>
  <c r="G9" i="1"/>
  <c r="G11" i="1"/>
  <c r="I22" i="1"/>
  <c r="F21" i="8" l="1"/>
  <c r="F26" i="8"/>
  <c r="K21" i="8"/>
  <c r="K26" i="8"/>
  <c r="P21" i="8"/>
  <c r="I23" i="1"/>
  <c r="I24" i="1"/>
  <c r="I35" i="1" l="1"/>
</calcChain>
</file>

<file path=xl/sharedStrings.xml><?xml version="1.0" encoding="utf-8"?>
<sst xmlns="http://schemas.openxmlformats.org/spreadsheetml/2006/main" count="249" uniqueCount="55">
  <si>
    <t>LSE</t>
  </si>
  <si>
    <t>MOEX</t>
  </si>
  <si>
    <t>America</t>
  </si>
  <si>
    <t>Equites</t>
  </si>
  <si>
    <t>MOEX Classic</t>
  </si>
  <si>
    <t>USD</t>
  </si>
  <si>
    <t>Price analysis scenarios</t>
  </si>
  <si>
    <t>RUB/USD rate</t>
  </si>
  <si>
    <t>commissions calculated in RUB</t>
  </si>
  <si>
    <t>Tarriff  “BCS Professional”¹</t>
  </si>
  <si>
    <t xml:space="preserve">Asset Quantity </t>
  </si>
  <si>
    <t>Amount</t>
  </si>
  <si>
    <t xml:space="preserve">Tarriff  “1.5. Tariff plan “BCS Promo” </t>
  </si>
  <si>
    <t>commissions calculated in USD</t>
  </si>
  <si>
    <t>NYSE, NASDAQ, NYSE, MKT</t>
  </si>
  <si>
    <t>Stump duty fee</t>
  </si>
  <si>
    <t>exchange fees, ECN fees, stamp duty, other fees, duties and taxes whatsoever, connected with execution of the Order and/or transaction and those are to be paid by Client additionally. Commission is charged in the currency of the account at the rate of Broker.</t>
  </si>
  <si>
    <t>Additional commissions*:</t>
  </si>
  <si>
    <t>TSX (Canada)</t>
  </si>
  <si>
    <t>XETRA</t>
  </si>
  <si>
    <t xml:space="preserve">Oslo SE </t>
  </si>
  <si>
    <t>NKEX</t>
  </si>
  <si>
    <t>NASDAQ OMX (Finland)</t>
  </si>
  <si>
    <t>NASDAQ OMX (Sweden)</t>
  </si>
  <si>
    <t>SEK</t>
  </si>
  <si>
    <t>EUR</t>
  </si>
  <si>
    <t>Euronex, Paris, AEX Amsterdam</t>
  </si>
  <si>
    <t>CAD</t>
  </si>
  <si>
    <t>NOK</t>
  </si>
  <si>
    <t>NKD</t>
  </si>
  <si>
    <t>WSX Warsaw</t>
  </si>
  <si>
    <t>PLZ</t>
  </si>
  <si>
    <t>CHI-X</t>
  </si>
  <si>
    <t>SGX, Singapore</t>
  </si>
  <si>
    <t>SGD</t>
  </si>
  <si>
    <t xml:space="preserve">Tarriff  “Tariff plan “Voice trading” </t>
  </si>
  <si>
    <t>Reregistration fee</t>
  </si>
  <si>
    <t>Final Ratio: Commission / Proceeds</t>
  </si>
  <si>
    <t>Small  order</t>
  </si>
  <si>
    <t>Large  order</t>
  </si>
  <si>
    <t xml:space="preserve"> </t>
  </si>
  <si>
    <t>Total additional commission</t>
  </si>
  <si>
    <t>Other</t>
  </si>
  <si>
    <t>Order size</t>
  </si>
  <si>
    <t>Order</t>
  </si>
  <si>
    <t>Tarriff  “NavigatoR”¹</t>
  </si>
  <si>
    <t>NYSE, NASDAQ</t>
  </si>
  <si>
    <t>Exchange Rate</t>
  </si>
  <si>
    <t xml:space="preserve"> “Tarriff plan “World Stock Exchanges” </t>
  </si>
  <si>
    <t>NYSE, NASDAQ, other</t>
  </si>
  <si>
    <t>for small order</t>
  </si>
  <si>
    <t>PTM Levy</t>
  </si>
  <si>
    <r>
      <rPr>
        <b/>
        <sz val="11"/>
        <color rgb="FFFF0000"/>
        <rFont val="Calibri"/>
        <family val="2"/>
        <charset val="204"/>
        <scheme val="minor"/>
      </rPr>
      <t xml:space="preserve">Trading scenario: </t>
    </r>
    <r>
      <rPr>
        <b/>
        <sz val="11"/>
        <color theme="1"/>
        <rFont val="Calibri"/>
        <family val="2"/>
        <charset val="204"/>
        <scheme val="minor"/>
      </rPr>
      <t>A transaction in an equity intsrument on a stock exchange</t>
    </r>
  </si>
  <si>
    <t>*If applicable</t>
  </si>
  <si>
    <t>Less material, to be added further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</si>
</sst>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_-;\-* #,##0_-;_-* &quot;-&quot;??_-;_-@_-"/>
    <numFmt numFmtId="166" formatCode="_-* #,##0.000\ _₽_-;\-* #,##0.000\ _₽_-;_-* &quot;-&quot;??\ _₽_-;_-@_-"/>
    <numFmt numFmtId="167" formatCode="_-* #,##0.0_-;\-* #,##0.0_-;_-* &quot;-&quot;??_-;_-@_-"/>
    <numFmt numFmtId="168" formatCode="0.000%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5C667B"/>
      <name val="Arial"/>
      <family val="2"/>
      <charset val="204"/>
    </font>
    <font>
      <sz val="11"/>
      <color rgb="FF7030A0"/>
      <name val="Calibri"/>
      <family val="2"/>
      <charset val="204"/>
      <scheme val="minor"/>
    </font>
    <font>
      <i/>
      <sz val="11"/>
      <color theme="5" tint="-0.49998474074526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7" fillId="0" borderId="0" xfId="0" applyFont="1"/>
    <xf numFmtId="0" fontId="0" fillId="0" borderId="1" xfId="0" applyBorder="1"/>
    <xf numFmtId="164" fontId="0" fillId="0" borderId="1" xfId="0" applyNumberFormat="1" applyBorder="1"/>
    <xf numFmtId="43" fontId="0" fillId="0" borderId="1" xfId="0" applyNumberFormat="1" applyBorder="1" applyAlignment="1">
      <alignment horizontal="center"/>
    </xf>
    <xf numFmtId="164" fontId="0" fillId="0" borderId="0" xfId="0" applyNumberFormat="1"/>
    <xf numFmtId="43" fontId="0" fillId="2" borderId="1" xfId="0" applyNumberFormat="1" applyFill="1" applyBorder="1" applyAlignment="1">
      <alignment horizontal="center"/>
    </xf>
    <xf numFmtId="0" fontId="4" fillId="0" borderId="0" xfId="0" applyFont="1" applyAlignment="1">
      <alignment horizontal="left"/>
    </xf>
    <xf numFmtId="166" fontId="0" fillId="0" borderId="0" xfId="0" applyNumberFormat="1"/>
    <xf numFmtId="43" fontId="0" fillId="0" borderId="1" xfId="1" applyFont="1" applyBorder="1"/>
    <xf numFmtId="43" fontId="0" fillId="0" borderId="1" xfId="0" applyNumberFormat="1" applyBorder="1"/>
    <xf numFmtId="43" fontId="0" fillId="0" borderId="2" xfId="0" applyNumberFormat="1" applyBorder="1"/>
    <xf numFmtId="0" fontId="4" fillId="0" borderId="1" xfId="0" applyFont="1" applyBorder="1"/>
    <xf numFmtId="0" fontId="7" fillId="0" borderId="0" xfId="0" applyFont="1" applyAlignment="1">
      <alignment horizontal="left" vertical="top"/>
    </xf>
    <xf numFmtId="0" fontId="2" fillId="5" borderId="0" xfId="0" applyFont="1" applyFill="1" applyBorder="1"/>
    <xf numFmtId="0" fontId="0" fillId="0" borderId="1" xfId="0" applyFont="1" applyBorder="1"/>
    <xf numFmtId="43" fontId="6" fillId="0" borderId="1" xfId="0" applyNumberFormat="1" applyFont="1" applyBorder="1" applyAlignment="1">
      <alignment horizontal="center"/>
    </xf>
    <xf numFmtId="43" fontId="6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2" xfId="0" applyFont="1" applyBorder="1"/>
    <xf numFmtId="0" fontId="0" fillId="0" borderId="3" xfId="0" applyBorder="1"/>
    <xf numFmtId="43" fontId="0" fillId="0" borderId="3" xfId="0" applyNumberFormat="1" applyBorder="1"/>
    <xf numFmtId="0" fontId="4" fillId="0" borderId="4" xfId="0" applyFont="1" applyBorder="1"/>
    <xf numFmtId="0" fontId="0" fillId="0" borderId="4" xfId="0" applyBorder="1" applyAlignment="1">
      <alignment horizontal="center"/>
    </xf>
    <xf numFmtId="43" fontId="0" fillId="0" borderId="4" xfId="0" applyNumberFormat="1" applyBorder="1"/>
    <xf numFmtId="0" fontId="0" fillId="0" borderId="5" xfId="0" applyBorder="1"/>
    <xf numFmtId="0" fontId="0" fillId="0" borderId="3" xfId="0" applyFont="1" applyBorder="1"/>
    <xf numFmtId="0" fontId="4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/>
    <xf numFmtId="43" fontId="6" fillId="0" borderId="1" xfId="0" applyNumberFormat="1" applyFont="1" applyBorder="1" applyAlignment="1">
      <alignment horizontal="center" vertical="top"/>
    </xf>
    <xf numFmtId="0" fontId="5" fillId="0" borderId="0" xfId="0" applyFont="1"/>
    <xf numFmtId="0" fontId="0" fillId="6" borderId="1" xfId="0" applyFill="1" applyBorder="1" applyAlignment="1">
      <alignment horizontal="right"/>
    </xf>
    <xf numFmtId="0" fontId="0" fillId="0" borderId="3" xfId="0" applyBorder="1" applyAlignment="1">
      <alignment horizontal="right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/>
    </xf>
    <xf numFmtId="0" fontId="0" fillId="2" borderId="1" xfId="0" applyFill="1" applyBorder="1"/>
    <xf numFmtId="10" fontId="0" fillId="0" borderId="3" xfId="2" applyNumberFormat="1" applyFont="1" applyBorder="1" applyAlignment="1">
      <alignment horizontal="right"/>
    </xf>
    <xf numFmtId="10" fontId="1" fillId="0" borderId="1" xfId="2" applyNumberFormat="1" applyFont="1" applyBorder="1"/>
    <xf numFmtId="165" fontId="0" fillId="0" borderId="1" xfId="0" applyNumberFormat="1" applyBorder="1" applyAlignment="1">
      <alignment horizontal="left" indent="2"/>
    </xf>
    <xf numFmtId="0" fontId="0" fillId="0" borderId="3" xfId="0" applyFont="1" applyBorder="1" applyAlignment="1">
      <alignment horizontal="left" indent="1"/>
    </xf>
    <xf numFmtId="0" fontId="4" fillId="3" borderId="1" xfId="0" applyFont="1" applyFill="1" applyBorder="1" applyAlignment="1">
      <alignment horizontal="left" indent="1"/>
    </xf>
    <xf numFmtId="0" fontId="8" fillId="0" borderId="0" xfId="0" applyFont="1" applyAlignment="1">
      <alignment horizontal="left"/>
    </xf>
    <xf numFmtId="10" fontId="0" fillId="2" borderId="3" xfId="2" applyNumberFormat="1" applyFont="1" applyFill="1" applyBorder="1" applyAlignment="1">
      <alignment horizontal="right"/>
    </xf>
    <xf numFmtId="10" fontId="1" fillId="2" borderId="1" xfId="2" applyNumberFormat="1" applyFont="1" applyFill="1" applyBorder="1"/>
    <xf numFmtId="165" fontId="6" fillId="0" borderId="1" xfId="0" applyNumberFormat="1" applyFont="1" applyBorder="1" applyAlignment="1">
      <alignment horizontal="center"/>
    </xf>
    <xf numFmtId="0" fontId="4" fillId="2" borderId="1" xfId="0" applyFont="1" applyFill="1" applyBorder="1"/>
    <xf numFmtId="165" fontId="0" fillId="2" borderId="1" xfId="0" applyNumberFormat="1" applyFill="1" applyBorder="1" applyAlignment="1">
      <alignment horizontal="left" indent="2"/>
    </xf>
    <xf numFmtId="0" fontId="8" fillId="2" borderId="0" xfId="0" applyFont="1" applyFill="1" applyAlignment="1">
      <alignment horizontal="center" vertical="top"/>
    </xf>
    <xf numFmtId="0" fontId="9" fillId="0" borderId="0" xfId="0" applyFont="1"/>
    <xf numFmtId="165" fontId="6" fillId="0" borderId="1" xfId="0" applyNumberFormat="1" applyFont="1" applyBorder="1" applyAlignment="1">
      <alignment horizontal="left" indent="2"/>
    </xf>
    <xf numFmtId="43" fontId="0" fillId="0" borderId="2" xfId="0" applyNumberFormat="1" applyBorder="1" applyAlignment="1">
      <alignment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43" fontId="3" fillId="0" borderId="4" xfId="0" applyNumberFormat="1" applyFont="1" applyBorder="1"/>
    <xf numFmtId="0" fontId="0" fillId="0" borderId="0" xfId="0" applyAlignment="1">
      <alignment horizontal="right"/>
    </xf>
    <xf numFmtId="165" fontId="0" fillId="0" borderId="2" xfId="0" applyNumberFormat="1" applyBorder="1" applyAlignment="1">
      <alignment wrapText="1"/>
    </xf>
    <xf numFmtId="43" fontId="6" fillId="0" borderId="1" xfId="0" applyNumberFormat="1" applyFont="1" applyBorder="1"/>
    <xf numFmtId="43" fontId="6" fillId="0" borderId="1" xfId="1" applyFont="1" applyBorder="1"/>
    <xf numFmtId="10" fontId="6" fillId="4" borderId="1" xfId="2" applyNumberFormat="1" applyFont="1" applyFill="1" applyBorder="1" applyAlignment="1">
      <alignment vertical="top"/>
    </xf>
    <xf numFmtId="10" fontId="3" fillId="4" borderId="1" xfId="2" applyNumberFormat="1" applyFont="1" applyFill="1" applyBorder="1" applyAlignment="1">
      <alignment vertical="top"/>
    </xf>
    <xf numFmtId="0" fontId="12" fillId="0" borderId="0" xfId="0" applyFont="1"/>
    <xf numFmtId="0" fontId="0" fillId="0" borderId="0" xfId="0" applyFont="1" applyAlignment="1">
      <alignment horizontal="right" vertical="center"/>
    </xf>
    <xf numFmtId="43" fontId="0" fillId="0" borderId="0" xfId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13" fillId="0" borderId="3" xfId="0" applyFont="1" applyBorder="1" applyAlignment="1">
      <alignment horizontal="right"/>
    </xf>
    <xf numFmtId="0" fontId="13" fillId="0" borderId="0" xfId="0" applyFont="1" applyAlignment="1">
      <alignment horizontal="center"/>
    </xf>
    <xf numFmtId="165" fontId="6" fillId="2" borderId="1" xfId="0" applyNumberFormat="1" applyFont="1" applyFill="1" applyBorder="1" applyAlignment="1">
      <alignment horizontal="left" indent="2"/>
    </xf>
    <xf numFmtId="0" fontId="13" fillId="0" borderId="3" xfId="0" applyFont="1" applyBorder="1"/>
    <xf numFmtId="2" fontId="13" fillId="0" borderId="3" xfId="0" applyNumberFormat="1" applyFont="1" applyBorder="1" applyAlignment="1">
      <alignment horizontal="right"/>
    </xf>
    <xf numFmtId="168" fontId="0" fillId="0" borderId="1" xfId="2" applyNumberFormat="1" applyFont="1" applyBorder="1"/>
    <xf numFmtId="0" fontId="0" fillId="0" borderId="1" xfId="0" applyBorder="1" applyAlignment="1">
      <alignment horizontal="right"/>
    </xf>
    <xf numFmtId="0" fontId="6" fillId="0" borderId="3" xfId="0" applyFont="1" applyBorder="1"/>
    <xf numFmtId="0" fontId="10" fillId="5" borderId="0" xfId="0" applyFont="1" applyFill="1" applyAlignment="1">
      <alignment horizontal="center"/>
    </xf>
    <xf numFmtId="0" fontId="0" fillId="0" borderId="0" xfId="0" applyAlignment="1">
      <alignment horizontal="left" vertical="top" wrapText="1" indent="1"/>
    </xf>
    <xf numFmtId="0" fontId="14" fillId="0" borderId="4" xfId="0" applyFont="1" applyBorder="1"/>
    <xf numFmtId="10" fontId="6" fillId="0" borderId="1" xfId="2" applyNumberFormat="1" applyFont="1" applyBorder="1"/>
    <xf numFmtId="10" fontId="6" fillId="2" borderId="1" xfId="2" applyNumberFormat="1" applyFont="1" applyFill="1" applyBorder="1"/>
    <xf numFmtId="167" fontId="6" fillId="0" borderId="1" xfId="0" applyNumberFormat="1" applyFont="1" applyBorder="1" applyAlignment="1">
      <alignment horizontal="center"/>
    </xf>
    <xf numFmtId="10" fontId="6" fillId="0" borderId="3" xfId="2" applyNumberFormat="1" applyFont="1" applyBorder="1" applyAlignment="1">
      <alignment horizontal="right"/>
    </xf>
    <xf numFmtId="43" fontId="6" fillId="0" borderId="4" xfId="0" applyNumberFormat="1" applyFont="1" applyBorder="1"/>
    <xf numFmtId="43" fontId="6" fillId="0" borderId="3" xfId="0" applyNumberFormat="1" applyFont="1" applyBorder="1"/>
    <xf numFmtId="0" fontId="6" fillId="2" borderId="1" xfId="0" applyFont="1" applyFill="1" applyBorder="1"/>
    <xf numFmtId="0" fontId="5" fillId="3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5" fillId="5" borderId="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49696</xdr:colOff>
      <xdr:row>40</xdr:row>
      <xdr:rowOff>97090</xdr:rowOff>
    </xdr:from>
    <xdr:to>
      <xdr:col>10</xdr:col>
      <xdr:colOff>952500</xdr:colOff>
      <xdr:row>58</xdr:row>
      <xdr:rowOff>145133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5587" y="12620394"/>
          <a:ext cx="9384196" cy="3477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1010478</xdr:colOff>
      <xdr:row>43</xdr:row>
      <xdr:rowOff>82827</xdr:rowOff>
    </xdr:from>
    <xdr:to>
      <xdr:col>11</xdr:col>
      <xdr:colOff>338683</xdr:colOff>
      <xdr:row>70</xdr:row>
      <xdr:rowOff>72660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1152" y="8373718"/>
          <a:ext cx="10542857" cy="5133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853109</xdr:colOff>
      <xdr:row>27</xdr:row>
      <xdr:rowOff>22220</xdr:rowOff>
    </xdr:from>
    <xdr:to>
      <xdr:col>10</xdr:col>
      <xdr:colOff>835028</xdr:colOff>
      <xdr:row>45</xdr:row>
      <xdr:rowOff>16565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870" y="8876329"/>
          <a:ext cx="11271115" cy="34233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41</xdr:row>
      <xdr:rowOff>82826</xdr:rowOff>
    </xdr:from>
    <xdr:to>
      <xdr:col>10</xdr:col>
      <xdr:colOff>359875</xdr:colOff>
      <xdr:row>67</xdr:row>
      <xdr:rowOff>10074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674" y="8001000"/>
          <a:ext cx="10448092" cy="48802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66261</xdr:colOff>
      <xdr:row>44</xdr:row>
      <xdr:rowOff>132522</xdr:rowOff>
    </xdr:from>
    <xdr:to>
      <xdr:col>9</xdr:col>
      <xdr:colOff>677346</xdr:colOff>
      <xdr:row>65</xdr:row>
      <xdr:rowOff>83472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9935" y="15372522"/>
          <a:ext cx="7634737" cy="3951450"/>
        </a:xfrm>
        <a:prstGeom prst="rect">
          <a:avLst/>
        </a:prstGeom>
      </xdr:spPr>
    </xdr:pic>
    <xdr:clientData/>
  </xdr:twoCellAnchor>
  <xdr:twoCellAnchor editAs="oneCell">
    <xdr:from>
      <xdr:col>2</xdr:col>
      <xdr:colOff>1093305</xdr:colOff>
      <xdr:row>29</xdr:row>
      <xdr:rowOff>82826</xdr:rowOff>
    </xdr:from>
    <xdr:to>
      <xdr:col>9</xdr:col>
      <xdr:colOff>741883</xdr:colOff>
      <xdr:row>50</xdr:row>
      <xdr:rowOff>118625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43979" y="6477000"/>
          <a:ext cx="7815230" cy="40362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8284</xdr:colOff>
      <xdr:row>42</xdr:row>
      <xdr:rowOff>157370</xdr:rowOff>
    </xdr:from>
    <xdr:to>
      <xdr:col>10</xdr:col>
      <xdr:colOff>547485</xdr:colOff>
      <xdr:row>56</xdr:row>
      <xdr:rowOff>181409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8958" y="9044609"/>
          <a:ext cx="9699766" cy="3047191"/>
        </a:xfrm>
        <a:prstGeom prst="rect">
          <a:avLst/>
        </a:prstGeom>
      </xdr:spPr>
    </xdr:pic>
    <xdr:clientData/>
  </xdr:twoCellAnchor>
  <xdr:twoCellAnchor editAs="oneCell">
    <xdr:from>
      <xdr:col>1</xdr:col>
      <xdr:colOff>695739</xdr:colOff>
      <xdr:row>56</xdr:row>
      <xdr:rowOff>57977</xdr:rowOff>
    </xdr:from>
    <xdr:to>
      <xdr:col>9</xdr:col>
      <xdr:colOff>430696</xdr:colOff>
      <xdr:row>81</xdr:row>
      <xdr:rowOff>171667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0" y="12432194"/>
          <a:ext cx="9044609" cy="48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49695</xdr:colOff>
      <xdr:row>82</xdr:row>
      <xdr:rowOff>108780</xdr:rowOff>
    </xdr:from>
    <xdr:to>
      <xdr:col>10</xdr:col>
      <xdr:colOff>753717</xdr:colOff>
      <xdr:row>95</xdr:row>
      <xdr:rowOff>100729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00369" y="15522715"/>
          <a:ext cx="9864587" cy="2468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zoomScale="115" zoomScaleNormal="115" workbookViewId="0">
      <pane xSplit="1" ySplit="2" topLeftCell="B3" activePane="bottomRight" state="frozen"/>
      <selection pane="topRight" activeCell="E1" sqref="E1"/>
      <selection pane="bottomLeft" activeCell="A4" sqref="A4"/>
      <selection pane="bottomRight" activeCell="J24" sqref="J24"/>
    </sheetView>
  </sheetViews>
  <sheetFormatPr defaultRowHeight="15" x14ac:dyDescent="0.25"/>
  <cols>
    <col min="1" max="1" width="3.85546875" customWidth="1"/>
    <col min="2" max="2" width="14.85546875" customWidth="1"/>
    <col min="3" max="3" width="19.85546875" style="1" customWidth="1"/>
    <col min="4" max="4" width="31" style="1" customWidth="1"/>
    <col min="5" max="5" width="19.42578125" customWidth="1"/>
    <col min="6" max="6" width="15.7109375" customWidth="1"/>
    <col min="7" max="7" width="19.85546875" customWidth="1"/>
    <col min="8" max="8" width="14.42578125" customWidth="1"/>
    <col min="9" max="9" width="14" style="1" customWidth="1"/>
    <col min="10" max="10" width="12.7109375" customWidth="1"/>
    <col min="11" max="11" width="16.85546875" customWidth="1"/>
    <col min="12" max="12" width="12.7109375" customWidth="1"/>
    <col min="13" max="13" width="13.7109375" customWidth="1"/>
    <col min="14" max="14" width="12" customWidth="1"/>
    <col min="15" max="15" width="8.28515625" customWidth="1"/>
    <col min="16" max="16" width="8" customWidth="1"/>
    <col min="17" max="17" width="11.85546875" customWidth="1"/>
    <col min="18" max="18" width="11.5703125" customWidth="1"/>
    <col min="19" max="20" width="15" customWidth="1"/>
    <col min="21" max="21" width="8.28515625" customWidth="1"/>
    <col min="22" max="22" width="13.7109375" customWidth="1"/>
  </cols>
  <sheetData>
    <row r="1" spans="1:13" ht="19.5" customHeight="1" x14ac:dyDescent="0.25">
      <c r="B1" s="17" t="s">
        <v>3</v>
      </c>
      <c r="D1" s="88" t="s">
        <v>6</v>
      </c>
      <c r="E1" s="88"/>
      <c r="F1" s="88"/>
      <c r="G1" s="88"/>
      <c r="H1" s="88"/>
      <c r="I1" s="88"/>
    </row>
    <row r="2" spans="1:13" ht="15.75" x14ac:dyDescent="0.25">
      <c r="B2" s="4" t="s">
        <v>9</v>
      </c>
      <c r="D2"/>
      <c r="I2"/>
    </row>
    <row r="3" spans="1:13" x14ac:dyDescent="0.25">
      <c r="C3" s="10"/>
      <c r="D3" s="10" t="s">
        <v>52</v>
      </c>
      <c r="E3" s="1"/>
      <c r="F3" s="10"/>
      <c r="G3" s="10"/>
      <c r="H3" s="10"/>
      <c r="I3" s="10"/>
      <c r="J3" s="10"/>
      <c r="K3" s="10"/>
      <c r="L3" s="10"/>
      <c r="M3" s="10"/>
    </row>
    <row r="4" spans="1:13" x14ac:dyDescent="0.25">
      <c r="D4" s="10" t="s">
        <v>7</v>
      </c>
      <c r="E4" s="30">
        <v>75</v>
      </c>
      <c r="G4" s="10"/>
      <c r="H4" s="10"/>
      <c r="I4" s="10"/>
      <c r="J4" s="10"/>
      <c r="K4" s="10"/>
      <c r="L4" s="10"/>
      <c r="M4" s="10"/>
    </row>
    <row r="5" spans="1:13" x14ac:dyDescent="0.25">
      <c r="A5" s="1"/>
      <c r="B5" s="10"/>
      <c r="C5" s="2"/>
      <c r="E5" s="21">
        <f>E4</f>
        <v>75</v>
      </c>
      <c r="F5" s="10"/>
      <c r="G5" s="10"/>
      <c r="H5" s="10"/>
      <c r="I5" s="10"/>
      <c r="J5" s="10"/>
      <c r="K5" s="10"/>
      <c r="L5" s="10"/>
      <c r="M5" s="10"/>
    </row>
    <row r="6" spans="1:13" ht="18" customHeight="1" x14ac:dyDescent="0.25">
      <c r="A6" s="1"/>
      <c r="C6"/>
      <c r="D6" s="16" t="s">
        <v>13</v>
      </c>
      <c r="G6" s="1"/>
      <c r="I6"/>
    </row>
    <row r="7" spans="1:13" ht="22.5" customHeight="1" x14ac:dyDescent="0.25">
      <c r="A7" s="1"/>
      <c r="C7"/>
      <c r="D7" s="43" t="s">
        <v>10</v>
      </c>
      <c r="E7" s="44" t="s">
        <v>11</v>
      </c>
      <c r="F7" s="74" t="s">
        <v>1</v>
      </c>
      <c r="G7" s="74" t="s">
        <v>4</v>
      </c>
      <c r="H7" s="74" t="s">
        <v>46</v>
      </c>
      <c r="I7" s="74" t="s">
        <v>0</v>
      </c>
      <c r="K7" s="11"/>
    </row>
    <row r="8" spans="1:13" x14ac:dyDescent="0.25">
      <c r="A8" s="1"/>
      <c r="C8"/>
      <c r="D8" s="14">
        <v>5000</v>
      </c>
      <c r="E8" s="12">
        <f t="shared" ref="E8:F11" si="0">E21/$E$4</f>
        <v>6666.666666666667</v>
      </c>
      <c r="F8" s="9">
        <f t="shared" si="0"/>
        <v>4</v>
      </c>
      <c r="G8" s="7">
        <f>G21/$E$5</f>
        <v>20</v>
      </c>
      <c r="H8" s="54">
        <f>D8*0.01</f>
        <v>50</v>
      </c>
      <c r="I8" s="7">
        <f>IF(E8*0.06%&lt;=10,10,E8*0.06%)</f>
        <v>10</v>
      </c>
    </row>
    <row r="9" spans="1:13" x14ac:dyDescent="0.25">
      <c r="A9" s="1"/>
      <c r="C9"/>
      <c r="D9" s="14">
        <v>20000</v>
      </c>
      <c r="E9" s="12">
        <f t="shared" si="0"/>
        <v>26666.666666666668</v>
      </c>
      <c r="F9" s="9">
        <f t="shared" si="0"/>
        <v>8</v>
      </c>
      <c r="G9" s="7">
        <f>G22/$E$5</f>
        <v>53.333333333333336</v>
      </c>
      <c r="H9" s="54">
        <f t="shared" ref="H9:H11" si="1">D9*0.01</f>
        <v>200</v>
      </c>
      <c r="I9" s="7">
        <f>IF(E9*0.06%&lt;=10,10,E9*0.06%)</f>
        <v>16</v>
      </c>
    </row>
    <row r="10" spans="1:13" x14ac:dyDescent="0.25">
      <c r="A10" s="1"/>
      <c r="C10"/>
      <c r="D10" s="14">
        <v>100000</v>
      </c>
      <c r="E10" s="12">
        <f t="shared" si="0"/>
        <v>133333.33333333334</v>
      </c>
      <c r="F10" s="9">
        <f t="shared" si="0"/>
        <v>33.333333333333336</v>
      </c>
      <c r="G10" s="7">
        <f>G23/$E$5</f>
        <v>266.66666666666669</v>
      </c>
      <c r="H10" s="54">
        <f t="shared" si="1"/>
        <v>1000</v>
      </c>
      <c r="I10" s="7">
        <f>IF(E10*0.06%&lt;=10,10,E10*0.06%)</f>
        <v>80</v>
      </c>
    </row>
    <row r="11" spans="1:13" x14ac:dyDescent="0.25">
      <c r="A11" s="1"/>
      <c r="C11"/>
      <c r="D11" s="14">
        <v>200000</v>
      </c>
      <c r="E11" s="12">
        <f t="shared" si="0"/>
        <v>266666.66666666669</v>
      </c>
      <c r="F11" s="9">
        <f t="shared" si="0"/>
        <v>53.333333333333336</v>
      </c>
      <c r="G11" s="7">
        <f>G24/$E$5</f>
        <v>533.33333333333337</v>
      </c>
      <c r="H11" s="54">
        <f t="shared" si="1"/>
        <v>2000</v>
      </c>
      <c r="I11" s="7">
        <f>IF(E11*0.06%&lt;=10,10,E11*0.06%)</f>
        <v>160</v>
      </c>
    </row>
    <row r="12" spans="1:13" ht="18" customHeight="1" x14ac:dyDescent="0.25">
      <c r="A12" s="1"/>
      <c r="B12" s="1"/>
      <c r="D12" s="22" t="s">
        <v>17</v>
      </c>
      <c r="E12" s="90" t="s">
        <v>54</v>
      </c>
      <c r="F12" s="25"/>
      <c r="G12" s="26"/>
      <c r="H12" s="95"/>
      <c r="I12" s="28"/>
    </row>
    <row r="13" spans="1:13" ht="18" customHeight="1" x14ac:dyDescent="0.25">
      <c r="A13" s="1"/>
      <c r="B13" s="1"/>
      <c r="D13" s="29" t="s">
        <v>36</v>
      </c>
      <c r="E13" s="23"/>
      <c r="F13" s="42"/>
      <c r="G13" s="42"/>
      <c r="H13" s="87"/>
      <c r="I13" s="23"/>
    </row>
    <row r="14" spans="1:13" ht="18" customHeight="1" x14ac:dyDescent="0.25">
      <c r="A14" s="1"/>
      <c r="B14" s="1"/>
      <c r="C14" s="2"/>
      <c r="D14" s="29" t="s">
        <v>15</v>
      </c>
      <c r="E14" s="23"/>
      <c r="F14" s="42"/>
      <c r="G14" s="42"/>
      <c r="H14" s="96"/>
      <c r="I14" s="23"/>
    </row>
    <row r="15" spans="1:13" ht="18" customHeight="1" x14ac:dyDescent="0.25">
      <c r="A15" s="1"/>
      <c r="B15" s="1"/>
      <c r="C15" s="2"/>
      <c r="D15" s="29" t="s">
        <v>51</v>
      </c>
      <c r="E15" s="23"/>
      <c r="F15" s="42"/>
      <c r="G15" s="42"/>
      <c r="H15" s="96"/>
      <c r="I15" s="23"/>
    </row>
    <row r="16" spans="1:13" ht="18" customHeight="1" x14ac:dyDescent="0.25">
      <c r="A16" s="1"/>
      <c r="B16" s="1"/>
      <c r="C16" s="2"/>
      <c r="D16" s="18" t="s">
        <v>42</v>
      </c>
      <c r="E16" s="5"/>
      <c r="F16" s="15"/>
      <c r="G16" s="42"/>
      <c r="H16" s="66"/>
      <c r="I16" s="5"/>
    </row>
    <row r="17" spans="1:13" ht="18" customHeight="1" x14ac:dyDescent="0.25">
      <c r="A17" s="1"/>
      <c r="B17" s="1"/>
      <c r="C17" s="2"/>
      <c r="D17" s="55" t="s">
        <v>41</v>
      </c>
      <c r="E17" s="45">
        <f>SUM(E13:E16)</f>
        <v>0</v>
      </c>
      <c r="F17" s="45">
        <f t="shared" ref="F17:I17" si="2">SUM(F13:F16)</f>
        <v>0</v>
      </c>
      <c r="G17" s="45">
        <f t="shared" si="2"/>
        <v>0</v>
      </c>
      <c r="H17" s="97">
        <f t="shared" si="2"/>
        <v>0</v>
      </c>
      <c r="I17" s="45">
        <f t="shared" si="2"/>
        <v>0</v>
      </c>
    </row>
    <row r="18" spans="1:13" ht="18" customHeight="1" x14ac:dyDescent="0.25">
      <c r="A18" s="1"/>
      <c r="B18" s="1"/>
      <c r="C18" s="2"/>
      <c r="D18" s="2"/>
      <c r="E18" s="2"/>
      <c r="F18" s="2"/>
      <c r="G18" s="2"/>
      <c r="H18" s="40"/>
      <c r="I18" s="2"/>
    </row>
    <row r="19" spans="1:13" ht="21" customHeight="1" x14ac:dyDescent="0.25">
      <c r="B19" s="1"/>
      <c r="C19"/>
      <c r="D19" s="16" t="s">
        <v>8</v>
      </c>
      <c r="E19" s="10"/>
      <c r="G19" s="10"/>
      <c r="H19" s="99"/>
      <c r="I19" s="10"/>
      <c r="J19" s="10"/>
      <c r="K19" s="10"/>
      <c r="L19" s="10"/>
      <c r="M19" s="10"/>
    </row>
    <row r="20" spans="1:13" ht="22.5" customHeight="1" x14ac:dyDescent="0.25">
      <c r="A20" s="1"/>
      <c r="C20"/>
      <c r="D20" s="43" t="s">
        <v>10</v>
      </c>
      <c r="E20" s="44" t="s">
        <v>11</v>
      </c>
      <c r="F20" s="74" t="s">
        <v>1</v>
      </c>
      <c r="G20" s="74" t="s">
        <v>4</v>
      </c>
      <c r="H20" s="100" t="s">
        <v>46</v>
      </c>
      <c r="I20" s="74" t="s">
        <v>0</v>
      </c>
    </row>
    <row r="21" spans="1:13" x14ac:dyDescent="0.25">
      <c r="A21" s="1"/>
      <c r="C21"/>
      <c r="D21" s="14">
        <v>5000</v>
      </c>
      <c r="E21" s="12">
        <v>500000</v>
      </c>
      <c r="F21" s="56">
        <f>E21*0.06%</f>
        <v>300</v>
      </c>
      <c r="G21" s="48">
        <v>1500</v>
      </c>
      <c r="H21" s="59">
        <f>H8*$E$4</f>
        <v>3750</v>
      </c>
      <c r="I21" s="48">
        <f>IF((E8*0.06%)&lt;=10,10,E8*0.06%)*E4</f>
        <v>750</v>
      </c>
      <c r="J21" s="1"/>
    </row>
    <row r="22" spans="1:13" x14ac:dyDescent="0.25">
      <c r="C22"/>
      <c r="D22" s="14">
        <f>E22/100</f>
        <v>20000</v>
      </c>
      <c r="E22" s="12">
        <v>2000000</v>
      </c>
      <c r="F22" s="56">
        <f>E22*0.03%</f>
        <v>600</v>
      </c>
      <c r="G22" s="48">
        <f>E22*0.2%</f>
        <v>4000</v>
      </c>
      <c r="H22" s="59">
        <f t="shared" ref="H22:H24" si="3">H9*$E$4</f>
        <v>15000</v>
      </c>
      <c r="I22" s="48">
        <f>IF((E9*0.06%)&lt;=10,10,E9*0.06%)*E4</f>
        <v>1200</v>
      </c>
      <c r="J22" s="1"/>
    </row>
    <row r="23" spans="1:13" x14ac:dyDescent="0.25">
      <c r="C23"/>
      <c r="D23" s="14">
        <f>E23/100</f>
        <v>100000</v>
      </c>
      <c r="E23" s="12">
        <v>10000000</v>
      </c>
      <c r="F23" s="56">
        <f>E23*0.025%</f>
        <v>2500</v>
      </c>
      <c r="G23" s="48">
        <f>E23*0.2%</f>
        <v>20000</v>
      </c>
      <c r="H23" s="59">
        <f t="shared" si="3"/>
        <v>75000</v>
      </c>
      <c r="I23" s="48">
        <f>IF((E10*0.06%)&lt;=10,10,E10*0.06%)*E4</f>
        <v>6000</v>
      </c>
      <c r="J23" s="1"/>
    </row>
    <row r="24" spans="1:13" x14ac:dyDescent="0.25">
      <c r="C24"/>
      <c r="D24" s="14">
        <f>E24/100</f>
        <v>200000</v>
      </c>
      <c r="E24" s="12">
        <v>20000000</v>
      </c>
      <c r="F24" s="56">
        <f>E24*0.02%</f>
        <v>4000</v>
      </c>
      <c r="G24" s="48">
        <f>E24*0.2%</f>
        <v>40000</v>
      </c>
      <c r="H24" s="59">
        <f t="shared" si="3"/>
        <v>150000</v>
      </c>
      <c r="I24" s="48">
        <f>IF((E11*0.06%)&lt;=10,10,E11*0.06%)*E4</f>
        <v>12000</v>
      </c>
      <c r="J24" s="1"/>
      <c r="K24" s="8"/>
    </row>
    <row r="25" spans="1:13" ht="18" customHeight="1" x14ac:dyDescent="0.25">
      <c r="A25" s="1"/>
      <c r="B25" s="1"/>
      <c r="D25" s="22" t="s">
        <v>17</v>
      </c>
      <c r="E25" s="90" t="s">
        <v>54</v>
      </c>
      <c r="F25" s="25"/>
      <c r="G25" s="26"/>
      <c r="H25" s="27"/>
      <c r="I25" s="28"/>
    </row>
    <row r="26" spans="1:13" ht="18" customHeight="1" x14ac:dyDescent="0.25">
      <c r="A26" s="1"/>
      <c r="B26" s="1"/>
      <c r="D26" s="29" t="s">
        <v>36</v>
      </c>
      <c r="E26" s="23"/>
      <c r="F26" s="42"/>
      <c r="G26" s="41"/>
      <c r="H26" s="23"/>
      <c r="I26" s="23"/>
    </row>
    <row r="27" spans="1:13" ht="18" customHeight="1" x14ac:dyDescent="0.25">
      <c r="A27" s="1"/>
      <c r="B27" s="1"/>
      <c r="C27" s="2"/>
      <c r="D27" s="29" t="s">
        <v>15</v>
      </c>
      <c r="E27" s="23"/>
      <c r="F27" s="42"/>
      <c r="G27" s="42"/>
      <c r="H27" s="24"/>
      <c r="I27" s="23"/>
    </row>
    <row r="28" spans="1:13" ht="18" customHeight="1" x14ac:dyDescent="0.25">
      <c r="A28" s="1"/>
      <c r="B28" s="1"/>
      <c r="C28" s="2"/>
      <c r="D28" s="29" t="s">
        <v>51</v>
      </c>
      <c r="E28" s="23"/>
      <c r="F28" s="42"/>
      <c r="G28" s="42"/>
      <c r="H28" s="24"/>
      <c r="I28" s="23"/>
    </row>
    <row r="29" spans="1:13" ht="18" customHeight="1" x14ac:dyDescent="0.25">
      <c r="A29" s="1"/>
      <c r="B29" s="1"/>
      <c r="C29" s="2"/>
      <c r="D29" s="18" t="s">
        <v>42</v>
      </c>
      <c r="E29" s="5"/>
      <c r="F29" s="15"/>
      <c r="G29" s="42"/>
      <c r="H29" s="13"/>
      <c r="I29" s="5"/>
    </row>
    <row r="30" spans="1:13" ht="18" customHeight="1" x14ac:dyDescent="0.25">
      <c r="A30" s="1"/>
      <c r="B30" s="1"/>
      <c r="C30" s="2"/>
      <c r="D30" s="55" t="s">
        <v>41</v>
      </c>
      <c r="E30" s="45">
        <f>E17/$E$4</f>
        <v>0</v>
      </c>
      <c r="F30" s="45">
        <f t="shared" ref="F30:I30" si="4">F17/$E$4</f>
        <v>0</v>
      </c>
      <c r="G30" s="45">
        <f t="shared" si="4"/>
        <v>0</v>
      </c>
      <c r="H30" s="45">
        <f t="shared" si="4"/>
        <v>0</v>
      </c>
      <c r="I30" s="45">
        <f t="shared" si="4"/>
        <v>0</v>
      </c>
    </row>
    <row r="31" spans="1:13" x14ac:dyDescent="0.25">
      <c r="A31" s="1"/>
      <c r="C31"/>
      <c r="D31"/>
      <c r="G31" s="1"/>
      <c r="I31"/>
    </row>
    <row r="32" spans="1:13" ht="18" customHeight="1" x14ac:dyDescent="0.25">
      <c r="A32" s="1"/>
      <c r="D32" s="40" t="s">
        <v>37</v>
      </c>
      <c r="I32"/>
    </row>
    <row r="33" spans="1:9" x14ac:dyDescent="0.25">
      <c r="A33" s="1"/>
      <c r="B33" s="1"/>
      <c r="D33" s="50" t="s">
        <v>44</v>
      </c>
      <c r="E33" s="50" t="s">
        <v>43</v>
      </c>
      <c r="F33" s="44" t="s">
        <v>1</v>
      </c>
      <c r="G33" s="44" t="s">
        <v>4</v>
      </c>
      <c r="H33" s="44" t="s">
        <v>2</v>
      </c>
      <c r="I33" s="44" t="s">
        <v>0</v>
      </c>
    </row>
    <row r="34" spans="1:9" ht="18" customHeight="1" x14ac:dyDescent="0.25">
      <c r="A34" s="1"/>
      <c r="B34" s="1"/>
      <c r="C34" s="2"/>
      <c r="D34" s="49" t="s">
        <v>38</v>
      </c>
      <c r="E34" s="12">
        <v>500000</v>
      </c>
      <c r="F34" s="52">
        <f>(F21+F30)/$E$21</f>
        <v>5.9999999999999995E-4</v>
      </c>
      <c r="G34" s="47">
        <f t="shared" ref="G34:I34" si="5">(G21+G30)/$E$21</f>
        <v>3.0000000000000001E-3</v>
      </c>
      <c r="H34" s="91">
        <f t="shared" si="5"/>
        <v>7.4999999999999997E-3</v>
      </c>
      <c r="I34" s="47">
        <f t="shared" si="5"/>
        <v>1.5E-3</v>
      </c>
    </row>
    <row r="35" spans="1:9" ht="18" customHeight="1" x14ac:dyDescent="0.25">
      <c r="A35" s="1"/>
      <c r="B35" s="1"/>
      <c r="C35" s="2"/>
      <c r="D35" s="49" t="s">
        <v>39</v>
      </c>
      <c r="E35" s="12">
        <v>20000000</v>
      </c>
      <c r="F35" s="53">
        <f>(F24+F17)/$E$24</f>
        <v>2.0000000000000001E-4</v>
      </c>
      <c r="G35" s="47">
        <f>(G24+G17)/$E$24</f>
        <v>2E-3</v>
      </c>
      <c r="H35" s="91">
        <f>(H24+H17)/$E$24</f>
        <v>7.4999999999999997E-3</v>
      </c>
      <c r="I35" s="47">
        <f>(I24+I17)/$E$24</f>
        <v>5.9999999999999995E-4</v>
      </c>
    </row>
    <row r="36" spans="1:9" x14ac:dyDescent="0.25">
      <c r="A36" s="1"/>
      <c r="C36" s="2"/>
      <c r="D36"/>
      <c r="G36" s="1"/>
      <c r="I36"/>
    </row>
    <row r="38" spans="1:9" x14ac:dyDescent="0.25">
      <c r="C38" s="31" t="s">
        <v>53</v>
      </c>
      <c r="D38" t="s">
        <v>16</v>
      </c>
    </row>
    <row r="40" spans="1:9" x14ac:dyDescent="0.25">
      <c r="C40"/>
      <c r="D40"/>
    </row>
    <row r="41" spans="1:9" x14ac:dyDescent="0.25">
      <c r="D41" s="1" t="s">
        <v>40</v>
      </c>
    </row>
  </sheetData>
  <mergeCells count="1">
    <mergeCell ref="D1:I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115" zoomScaleNormal="115" workbookViewId="0">
      <pane xSplit="1" ySplit="2" topLeftCell="B3" activePane="bottomRight" state="frozen"/>
      <selection pane="topRight" activeCell="E1" sqref="E1"/>
      <selection pane="bottomLeft" activeCell="A4" sqref="A4"/>
      <selection pane="bottomRight" activeCell="E16" sqref="E16"/>
    </sheetView>
  </sheetViews>
  <sheetFormatPr defaultRowHeight="15" x14ac:dyDescent="0.25"/>
  <cols>
    <col min="1" max="1" width="3.85546875" customWidth="1"/>
    <col min="2" max="2" width="14.85546875" customWidth="1"/>
    <col min="3" max="3" width="19.85546875" style="1" customWidth="1"/>
    <col min="4" max="4" width="31" style="1" customWidth="1"/>
    <col min="5" max="5" width="18.5703125" customWidth="1"/>
    <col min="6" max="6" width="18.42578125" customWidth="1"/>
    <col min="7" max="7" width="15.7109375" customWidth="1"/>
    <col min="8" max="8" width="17.140625" customWidth="1"/>
    <col min="9" max="9" width="17.7109375" style="1" customWidth="1"/>
    <col min="10" max="10" width="12.7109375" customWidth="1"/>
    <col min="11" max="11" width="16.85546875" customWidth="1"/>
    <col min="12" max="12" width="12.7109375" customWidth="1"/>
    <col min="13" max="13" width="13.7109375" customWidth="1"/>
    <col min="14" max="14" width="12" customWidth="1"/>
    <col min="15" max="15" width="8.28515625" customWidth="1"/>
    <col min="16" max="16" width="8" customWidth="1"/>
    <col min="17" max="17" width="11.85546875" customWidth="1"/>
    <col min="18" max="18" width="11.5703125" customWidth="1"/>
    <col min="19" max="20" width="15" customWidth="1"/>
    <col min="21" max="21" width="8.28515625" customWidth="1"/>
    <col min="22" max="22" width="13.7109375" customWidth="1"/>
  </cols>
  <sheetData>
    <row r="1" spans="1:13" ht="19.5" customHeight="1" x14ac:dyDescent="0.25">
      <c r="B1" s="17" t="s">
        <v>3</v>
      </c>
      <c r="D1" s="88" t="s">
        <v>6</v>
      </c>
      <c r="E1" s="88"/>
      <c r="F1" s="88"/>
      <c r="G1" s="88"/>
      <c r="H1" s="88"/>
      <c r="I1" s="88"/>
    </row>
    <row r="2" spans="1:13" ht="15.75" x14ac:dyDescent="0.25">
      <c r="B2" s="58" t="s">
        <v>45</v>
      </c>
      <c r="D2"/>
      <c r="I2"/>
      <c r="J2" s="3"/>
    </row>
    <row r="3" spans="1:13" x14ac:dyDescent="0.25">
      <c r="C3" s="10"/>
      <c r="D3" s="10" t="s">
        <v>52</v>
      </c>
      <c r="E3" s="1"/>
      <c r="F3" s="10"/>
      <c r="G3" s="10"/>
      <c r="H3" s="10"/>
      <c r="I3" s="10"/>
      <c r="J3" s="3"/>
      <c r="K3" s="10"/>
      <c r="L3" s="10"/>
      <c r="M3" s="10"/>
    </row>
    <row r="4" spans="1:13" x14ac:dyDescent="0.25">
      <c r="D4" s="10" t="s">
        <v>7</v>
      </c>
      <c r="E4" s="30">
        <v>75</v>
      </c>
      <c r="G4" s="10"/>
      <c r="H4" s="10"/>
      <c r="I4" s="10"/>
      <c r="J4" s="10"/>
      <c r="K4" s="10"/>
      <c r="L4" s="10"/>
      <c r="M4" s="10"/>
    </row>
    <row r="5" spans="1:13" x14ac:dyDescent="0.25">
      <c r="A5" s="1"/>
      <c r="B5" s="10"/>
      <c r="C5" s="2"/>
      <c r="E5" s="21">
        <f>E4</f>
        <v>75</v>
      </c>
      <c r="F5" s="10"/>
      <c r="G5" s="10"/>
      <c r="H5" s="10"/>
      <c r="I5" s="10"/>
      <c r="J5" s="10"/>
      <c r="K5" s="10"/>
      <c r="L5" s="10"/>
      <c r="M5" s="10"/>
    </row>
    <row r="6" spans="1:13" ht="18" customHeight="1" x14ac:dyDescent="0.25">
      <c r="A6" s="1"/>
      <c r="C6"/>
      <c r="D6" s="16" t="s">
        <v>13</v>
      </c>
      <c r="G6" s="1"/>
      <c r="I6"/>
    </row>
    <row r="7" spans="1:13" ht="22.5" customHeight="1" x14ac:dyDescent="0.25">
      <c r="A7" s="1"/>
      <c r="C7"/>
      <c r="D7" s="43" t="s">
        <v>10</v>
      </c>
      <c r="E7" s="44" t="s">
        <v>11</v>
      </c>
      <c r="F7" s="74" t="s">
        <v>1</v>
      </c>
      <c r="G7" s="74" t="s">
        <v>4</v>
      </c>
      <c r="H7" s="74" t="s">
        <v>46</v>
      </c>
      <c r="I7" s="74" t="s">
        <v>0</v>
      </c>
      <c r="K7" s="11"/>
    </row>
    <row r="8" spans="1:13" x14ac:dyDescent="0.25">
      <c r="A8" s="1"/>
      <c r="C8"/>
      <c r="D8" s="14">
        <v>5000</v>
      </c>
      <c r="E8" s="12">
        <f t="shared" ref="E8:F11" si="0">E21/$E$4</f>
        <v>6666.666666666667</v>
      </c>
      <c r="F8" s="9">
        <f t="shared" si="0"/>
        <v>4</v>
      </c>
      <c r="G8" s="7">
        <f>G21/$E$5</f>
        <v>20</v>
      </c>
      <c r="H8" s="54">
        <f>D8*0.01</f>
        <v>50</v>
      </c>
      <c r="I8" s="6">
        <v>10</v>
      </c>
    </row>
    <row r="9" spans="1:13" x14ac:dyDescent="0.25">
      <c r="A9" s="1"/>
      <c r="C9"/>
      <c r="D9" s="14">
        <v>20000</v>
      </c>
      <c r="E9" s="12">
        <f t="shared" si="0"/>
        <v>26666.666666666668</v>
      </c>
      <c r="F9" s="9">
        <f t="shared" si="0"/>
        <v>8</v>
      </c>
      <c r="G9" s="7">
        <f>G22/$E$5</f>
        <v>53.333333333333336</v>
      </c>
      <c r="H9" s="54">
        <f t="shared" ref="H9:H11" si="1">D9*0.01</f>
        <v>200</v>
      </c>
      <c r="I9" s="6">
        <v>16.528424758478394</v>
      </c>
    </row>
    <row r="10" spans="1:13" x14ac:dyDescent="0.25">
      <c r="A10" s="1"/>
      <c r="C10"/>
      <c r="D10" s="14">
        <v>100000</v>
      </c>
      <c r="E10" s="12">
        <f t="shared" si="0"/>
        <v>133333.33333333334</v>
      </c>
      <c r="F10" s="9">
        <f t="shared" si="0"/>
        <v>33.333333333333336</v>
      </c>
      <c r="G10" s="7">
        <f>G23/$E$5</f>
        <v>266.66666666666669</v>
      </c>
      <c r="H10" s="54">
        <f t="shared" si="1"/>
        <v>1000</v>
      </c>
      <c r="I10" s="6">
        <v>82.642123792391956</v>
      </c>
    </row>
    <row r="11" spans="1:13" x14ac:dyDescent="0.25">
      <c r="A11" s="1"/>
      <c r="C11"/>
      <c r="D11" s="14">
        <v>200000</v>
      </c>
      <c r="E11" s="12">
        <f t="shared" si="0"/>
        <v>266666.66666666669</v>
      </c>
      <c r="F11" s="9">
        <f t="shared" si="0"/>
        <v>53.333333333333336</v>
      </c>
      <c r="G11" s="7">
        <f>G24/$E$5</f>
        <v>533.33333333333337</v>
      </c>
      <c r="H11" s="54">
        <f t="shared" si="1"/>
        <v>2000</v>
      </c>
      <c r="I11" s="6">
        <v>165.28424758478391</v>
      </c>
    </row>
    <row r="12" spans="1:13" ht="18" customHeight="1" x14ac:dyDescent="0.25">
      <c r="A12" s="1"/>
      <c r="B12" s="1"/>
      <c r="D12" s="22" t="s">
        <v>17</v>
      </c>
      <c r="E12" s="90" t="s">
        <v>54</v>
      </c>
      <c r="F12" s="25"/>
      <c r="G12" s="26"/>
      <c r="H12" s="63"/>
      <c r="I12" s="28"/>
      <c r="J12" s="28"/>
    </row>
    <row r="13" spans="1:13" ht="18" customHeight="1" x14ac:dyDescent="0.25">
      <c r="A13" s="1"/>
      <c r="B13" s="1"/>
      <c r="D13" s="29" t="s">
        <v>36</v>
      </c>
      <c r="E13" s="23"/>
      <c r="F13" s="42"/>
      <c r="G13" s="42"/>
      <c r="H13" s="23"/>
      <c r="I13" s="23"/>
    </row>
    <row r="14" spans="1:13" ht="18" customHeight="1" x14ac:dyDescent="0.25">
      <c r="A14" s="1"/>
      <c r="B14" s="1"/>
      <c r="C14" s="2"/>
      <c r="D14" s="29" t="s">
        <v>15</v>
      </c>
      <c r="E14" s="23"/>
      <c r="F14" s="42"/>
      <c r="G14" s="42"/>
      <c r="H14" s="24"/>
      <c r="I14" s="23"/>
    </row>
    <row r="15" spans="1:13" ht="18" customHeight="1" x14ac:dyDescent="0.25">
      <c r="A15" s="1"/>
      <c r="B15" s="1"/>
      <c r="C15" s="2"/>
      <c r="D15" s="29" t="s">
        <v>51</v>
      </c>
      <c r="E15" s="23"/>
      <c r="F15" s="42"/>
      <c r="G15" s="42"/>
      <c r="H15" s="24"/>
      <c r="I15" s="23"/>
    </row>
    <row r="16" spans="1:13" ht="18" customHeight="1" x14ac:dyDescent="0.25">
      <c r="A16" s="1"/>
      <c r="B16" s="1"/>
      <c r="C16" s="2"/>
      <c r="D16" s="18" t="s">
        <v>42</v>
      </c>
      <c r="E16" s="5"/>
      <c r="F16" s="15"/>
      <c r="G16" s="42"/>
      <c r="H16" s="13"/>
      <c r="I16" s="5"/>
    </row>
    <row r="17" spans="1:13" ht="18" customHeight="1" x14ac:dyDescent="0.25">
      <c r="A17" s="1"/>
      <c r="B17" s="1"/>
      <c r="C17" s="2"/>
      <c r="D17" s="55" t="s">
        <v>41</v>
      </c>
      <c r="E17" s="45">
        <f>SUM(E13:E16)</f>
        <v>0</v>
      </c>
      <c r="F17" s="45">
        <f t="shared" ref="F17:I17" si="2">SUM(F13:F16)</f>
        <v>0</v>
      </c>
      <c r="G17" s="45">
        <f t="shared" si="2"/>
        <v>0</v>
      </c>
      <c r="H17" s="45">
        <f t="shared" si="2"/>
        <v>0</v>
      </c>
      <c r="I17" s="45">
        <f t="shared" si="2"/>
        <v>0</v>
      </c>
    </row>
    <row r="18" spans="1:13" ht="18" customHeight="1" x14ac:dyDescent="0.25">
      <c r="A18" s="1"/>
      <c r="B18" s="1"/>
      <c r="C18" s="2"/>
      <c r="D18" s="2"/>
      <c r="E18" s="2"/>
      <c r="F18" s="2"/>
      <c r="G18" s="2"/>
      <c r="H18" s="2"/>
      <c r="I18" s="2"/>
    </row>
    <row r="19" spans="1:13" ht="21" customHeight="1" x14ac:dyDescent="0.25">
      <c r="B19" s="10"/>
      <c r="C19"/>
      <c r="D19" s="16" t="s">
        <v>8</v>
      </c>
      <c r="E19" s="10"/>
      <c r="G19" s="10"/>
      <c r="H19" s="10"/>
      <c r="I19" s="10"/>
      <c r="J19" s="10"/>
      <c r="K19" s="10"/>
      <c r="L19" s="10"/>
      <c r="M19" s="10"/>
    </row>
    <row r="20" spans="1:13" ht="22.5" customHeight="1" x14ac:dyDescent="0.25">
      <c r="A20" s="1"/>
      <c r="C20"/>
      <c r="D20" s="43" t="s">
        <v>10</v>
      </c>
      <c r="E20" s="44" t="s">
        <v>11</v>
      </c>
      <c r="F20" s="74" t="s">
        <v>1</v>
      </c>
      <c r="G20" s="74" t="s">
        <v>4</v>
      </c>
      <c r="H20" s="74" t="s">
        <v>46</v>
      </c>
      <c r="I20" s="74" t="s">
        <v>0</v>
      </c>
    </row>
    <row r="21" spans="1:13" x14ac:dyDescent="0.25">
      <c r="A21" s="1"/>
      <c r="C21"/>
      <c r="D21" s="14">
        <v>5000</v>
      </c>
      <c r="E21" s="12">
        <v>500000</v>
      </c>
      <c r="F21" s="56">
        <f>E21*0.06%</f>
        <v>300</v>
      </c>
      <c r="G21" s="48">
        <v>1500</v>
      </c>
      <c r="H21" s="59">
        <f>H8*$E$4</f>
        <v>3750</v>
      </c>
      <c r="I21" s="48">
        <f>IF((E8*0.06%)&lt;=10,10,E8*0.06%)*E4</f>
        <v>750</v>
      </c>
      <c r="J21" s="1"/>
    </row>
    <row r="22" spans="1:13" x14ac:dyDescent="0.25">
      <c r="C22"/>
      <c r="D22" s="14">
        <v>20000</v>
      </c>
      <c r="E22" s="12">
        <v>2000000</v>
      </c>
      <c r="F22" s="56">
        <f>E22*0.03%</f>
        <v>600</v>
      </c>
      <c r="G22" s="59">
        <f>E22*0.2%</f>
        <v>4000</v>
      </c>
      <c r="H22" s="59">
        <f t="shared" ref="H22:H24" si="3">H9*$E$4</f>
        <v>15000</v>
      </c>
      <c r="I22" s="48">
        <f>IF((E9*0.06%)&lt;=10,10,E9*0.06%)*E4</f>
        <v>1200</v>
      </c>
      <c r="J22" s="1"/>
    </row>
    <row r="23" spans="1:13" x14ac:dyDescent="0.25">
      <c r="C23"/>
      <c r="D23" s="14">
        <v>100000</v>
      </c>
      <c r="E23" s="12">
        <v>10000000</v>
      </c>
      <c r="F23" s="56">
        <f>E23*0.025%</f>
        <v>2500</v>
      </c>
      <c r="G23" s="59">
        <f>E23*0.2%</f>
        <v>20000</v>
      </c>
      <c r="H23" s="59">
        <f t="shared" si="3"/>
        <v>75000</v>
      </c>
      <c r="I23" s="48">
        <f>IF((E10*0.06%)&lt;=10,10,E10*0.06%)*E4</f>
        <v>6000</v>
      </c>
      <c r="J23" s="1"/>
    </row>
    <row r="24" spans="1:13" x14ac:dyDescent="0.25">
      <c r="C24"/>
      <c r="D24" s="14">
        <v>200000</v>
      </c>
      <c r="E24" s="12">
        <v>20000000</v>
      </c>
      <c r="F24" s="56">
        <f>E24*0.02%</f>
        <v>4000</v>
      </c>
      <c r="G24" s="59">
        <f>E24*0.2%</f>
        <v>40000</v>
      </c>
      <c r="H24" s="59">
        <f t="shared" si="3"/>
        <v>150000</v>
      </c>
      <c r="I24" s="48">
        <f>IF((E11*0.06%)&lt;=10,10,E11*0.06%)*E4</f>
        <v>12000</v>
      </c>
      <c r="J24" s="1"/>
      <c r="K24" s="8"/>
    </row>
    <row r="25" spans="1:13" ht="18" customHeight="1" x14ac:dyDescent="0.25">
      <c r="A25" s="1"/>
      <c r="B25" s="1"/>
      <c r="D25" s="22" t="s">
        <v>17</v>
      </c>
      <c r="E25" s="90" t="s">
        <v>54</v>
      </c>
      <c r="F25" s="25"/>
      <c r="G25" s="26"/>
      <c r="H25" s="95"/>
      <c r="I25" s="28"/>
    </row>
    <row r="26" spans="1:13" ht="18" customHeight="1" x14ac:dyDescent="0.25">
      <c r="A26" s="1"/>
      <c r="B26" s="1"/>
      <c r="D26" s="29" t="s">
        <v>36</v>
      </c>
      <c r="E26" s="23"/>
      <c r="F26" s="42"/>
      <c r="G26" s="41"/>
      <c r="H26" s="87"/>
      <c r="I26" s="23"/>
    </row>
    <row r="27" spans="1:13" ht="18" customHeight="1" x14ac:dyDescent="0.25">
      <c r="A27" s="1"/>
      <c r="B27" s="1"/>
      <c r="C27" s="2"/>
      <c r="D27" s="29" t="s">
        <v>15</v>
      </c>
      <c r="E27" s="23"/>
      <c r="F27" s="42"/>
      <c r="G27" s="42"/>
      <c r="H27" s="96"/>
      <c r="I27" s="23"/>
    </row>
    <row r="28" spans="1:13" ht="18" customHeight="1" x14ac:dyDescent="0.25">
      <c r="A28" s="1"/>
      <c r="B28" s="1"/>
      <c r="C28" s="2"/>
      <c r="D28" s="29" t="s">
        <v>51</v>
      </c>
      <c r="E28" s="23"/>
      <c r="F28" s="42"/>
      <c r="G28" s="42"/>
      <c r="H28" s="96"/>
      <c r="I28" s="23"/>
    </row>
    <row r="29" spans="1:13" ht="18" customHeight="1" x14ac:dyDescent="0.25">
      <c r="A29" s="1"/>
      <c r="B29" s="1"/>
      <c r="C29" s="2"/>
      <c r="D29" s="18" t="s">
        <v>42</v>
      </c>
      <c r="E29" s="5"/>
      <c r="F29" s="15"/>
      <c r="G29" s="42"/>
      <c r="H29" s="66"/>
      <c r="I29" s="5"/>
    </row>
    <row r="30" spans="1:13" ht="18" customHeight="1" x14ac:dyDescent="0.25">
      <c r="A30" s="1"/>
      <c r="B30" s="1"/>
      <c r="C30" s="2"/>
      <c r="D30" s="55" t="s">
        <v>41</v>
      </c>
      <c r="E30" s="45">
        <f>E17/$E$4</f>
        <v>0</v>
      </c>
      <c r="F30" s="45">
        <f t="shared" ref="F30:I30" si="4">F17/$E$4</f>
        <v>0</v>
      </c>
      <c r="G30" s="45">
        <f t="shared" si="4"/>
        <v>0</v>
      </c>
      <c r="H30" s="97">
        <f t="shared" si="4"/>
        <v>0</v>
      </c>
      <c r="I30" s="45">
        <f t="shared" si="4"/>
        <v>0</v>
      </c>
    </row>
    <row r="31" spans="1:13" x14ac:dyDescent="0.25">
      <c r="A31" s="1"/>
      <c r="C31"/>
      <c r="D31"/>
      <c r="G31" s="1"/>
      <c r="H31" s="38"/>
      <c r="I31"/>
    </row>
    <row r="32" spans="1:13" ht="18" customHeight="1" x14ac:dyDescent="0.25">
      <c r="A32" s="1"/>
      <c r="D32" s="40" t="s">
        <v>37</v>
      </c>
      <c r="H32" s="38"/>
      <c r="I32"/>
    </row>
    <row r="33" spans="1:10" x14ac:dyDescent="0.25">
      <c r="A33" s="1"/>
      <c r="B33" s="1"/>
      <c r="D33" s="50" t="s">
        <v>44</v>
      </c>
      <c r="E33" s="50" t="s">
        <v>43</v>
      </c>
      <c r="F33" s="44" t="s">
        <v>1</v>
      </c>
      <c r="G33" s="44" t="s">
        <v>4</v>
      </c>
      <c r="H33" s="98" t="s">
        <v>2</v>
      </c>
      <c r="I33" s="44" t="s">
        <v>0</v>
      </c>
    </row>
    <row r="34" spans="1:10" ht="18" customHeight="1" x14ac:dyDescent="0.25">
      <c r="A34" s="1"/>
      <c r="B34" s="1"/>
      <c r="C34" s="2"/>
      <c r="D34" s="49" t="s">
        <v>38</v>
      </c>
      <c r="E34" s="12">
        <v>500000</v>
      </c>
      <c r="F34" s="52">
        <f>(F21+F30)/$E$21</f>
        <v>5.9999999999999995E-4</v>
      </c>
      <c r="G34" s="47">
        <f t="shared" ref="G34:I34" si="5">(G21+G30)/$E$21</f>
        <v>3.0000000000000001E-3</v>
      </c>
      <c r="H34" s="91">
        <f t="shared" si="5"/>
        <v>7.4999999999999997E-3</v>
      </c>
      <c r="I34" s="47">
        <f t="shared" si="5"/>
        <v>1.5E-3</v>
      </c>
    </row>
    <row r="35" spans="1:10" ht="18" customHeight="1" x14ac:dyDescent="0.25">
      <c r="A35" s="1"/>
      <c r="B35" s="1"/>
      <c r="C35" s="2"/>
      <c r="D35" s="49" t="s">
        <v>39</v>
      </c>
      <c r="E35" s="12">
        <v>20000000</v>
      </c>
      <c r="F35" s="53">
        <f>(F24+F30)/$E$24</f>
        <v>2.0000000000000001E-4</v>
      </c>
      <c r="G35" s="47">
        <f>(G24+G30)/$E$24</f>
        <v>2E-3</v>
      </c>
      <c r="H35" s="91">
        <f t="shared" ref="H35:I35" si="6">(H24+H30)/$E$24</f>
        <v>7.4999999999999997E-3</v>
      </c>
      <c r="I35" s="47">
        <f t="shared" si="6"/>
        <v>5.9999999999999995E-4</v>
      </c>
    </row>
    <row r="36" spans="1:10" x14ac:dyDescent="0.25">
      <c r="A36" s="1"/>
      <c r="C36" s="2"/>
      <c r="D36"/>
      <c r="G36" s="1"/>
      <c r="I36"/>
    </row>
    <row r="38" spans="1:10" ht="32.25" customHeight="1" x14ac:dyDescent="0.25">
      <c r="C38" s="57" t="s">
        <v>53</v>
      </c>
      <c r="D38" s="89" t="s">
        <v>16</v>
      </c>
      <c r="E38" s="89"/>
      <c r="F38" s="89"/>
      <c r="G38" s="89"/>
      <c r="H38" s="89"/>
      <c r="I38" s="89"/>
      <c r="J38" s="89"/>
    </row>
    <row r="40" spans="1:10" x14ac:dyDescent="0.25">
      <c r="C40" s="51"/>
      <c r="E40" s="1"/>
    </row>
    <row r="41" spans="1:10" x14ac:dyDescent="0.25">
      <c r="D41" s="1" t="s">
        <v>40</v>
      </c>
    </row>
  </sheetData>
  <mergeCells count="2">
    <mergeCell ref="D1:I1"/>
    <mergeCell ref="D38:J3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115" zoomScaleNormal="115" workbookViewId="0">
      <pane xSplit="1" ySplit="2" topLeftCell="B3" activePane="bottomRight" state="frozen"/>
      <selection pane="topRight" activeCell="E1" sqref="E1"/>
      <selection pane="bottomLeft" activeCell="A4" sqref="A4"/>
      <selection pane="bottomRight" activeCell="E14" sqref="E14"/>
    </sheetView>
  </sheetViews>
  <sheetFormatPr defaultRowHeight="15" x14ac:dyDescent="0.25"/>
  <cols>
    <col min="1" max="1" width="3.85546875" customWidth="1"/>
    <col min="2" max="2" width="14.85546875" customWidth="1"/>
    <col min="3" max="3" width="19.85546875" style="1" customWidth="1"/>
    <col min="4" max="4" width="31" style="1" customWidth="1"/>
    <col min="5" max="5" width="20.42578125" customWidth="1"/>
    <col min="6" max="6" width="12" customWidth="1"/>
    <col min="7" max="8" width="19.85546875" customWidth="1"/>
    <col min="9" max="9" width="18.5703125" style="1" customWidth="1"/>
    <col min="10" max="10" width="12.7109375" customWidth="1"/>
    <col min="11" max="11" width="16.85546875" customWidth="1"/>
    <col min="12" max="12" width="12.7109375" customWidth="1"/>
    <col min="13" max="13" width="13.7109375" customWidth="1"/>
    <col min="14" max="14" width="12" customWidth="1"/>
    <col min="15" max="15" width="8.28515625" customWidth="1"/>
    <col min="16" max="16" width="8" customWidth="1"/>
    <col min="17" max="17" width="11.85546875" customWidth="1"/>
    <col min="18" max="18" width="11.5703125" customWidth="1"/>
    <col min="19" max="20" width="15" customWidth="1"/>
    <col min="21" max="21" width="8.28515625" customWidth="1"/>
    <col min="22" max="22" width="13.7109375" customWidth="1"/>
  </cols>
  <sheetData>
    <row r="1" spans="1:13" ht="19.5" customHeight="1" x14ac:dyDescent="0.25">
      <c r="B1" s="17" t="s">
        <v>3</v>
      </c>
      <c r="D1" s="88" t="s">
        <v>6</v>
      </c>
      <c r="E1" s="88"/>
      <c r="F1" s="88"/>
      <c r="G1" s="88"/>
      <c r="H1" s="88"/>
      <c r="I1" s="88"/>
    </row>
    <row r="2" spans="1:13" ht="15.75" x14ac:dyDescent="0.25">
      <c r="B2" s="4" t="s">
        <v>9</v>
      </c>
      <c r="D2"/>
      <c r="I2"/>
    </row>
    <row r="3" spans="1:13" x14ac:dyDescent="0.25">
      <c r="C3" s="10"/>
      <c r="D3" s="10" t="s">
        <v>52</v>
      </c>
      <c r="E3" s="1"/>
      <c r="F3" s="10"/>
      <c r="G3" s="10"/>
      <c r="H3" s="10"/>
      <c r="I3" s="10"/>
      <c r="J3" s="10"/>
      <c r="K3" s="10"/>
      <c r="L3" s="10"/>
      <c r="M3" s="10"/>
    </row>
    <row r="4" spans="1:13" x14ac:dyDescent="0.25">
      <c r="D4" s="10" t="s">
        <v>7</v>
      </c>
      <c r="E4" s="30">
        <v>75</v>
      </c>
      <c r="G4" s="10"/>
      <c r="H4" s="10"/>
      <c r="I4" s="10"/>
      <c r="J4" s="10"/>
      <c r="K4" s="10"/>
      <c r="L4" s="10"/>
      <c r="M4" s="10"/>
    </row>
    <row r="5" spans="1:13" x14ac:dyDescent="0.25">
      <c r="A5" s="1"/>
      <c r="B5" s="10"/>
      <c r="C5" s="2"/>
      <c r="E5" s="21">
        <f>E4</f>
        <v>75</v>
      </c>
      <c r="F5" s="10"/>
      <c r="G5" s="10"/>
      <c r="H5" s="10"/>
      <c r="I5" s="10"/>
      <c r="J5" s="10"/>
      <c r="K5" s="10"/>
      <c r="L5" s="10"/>
      <c r="M5" s="10"/>
    </row>
    <row r="6" spans="1:13" ht="21" customHeight="1" x14ac:dyDescent="0.25">
      <c r="B6" s="1"/>
      <c r="C6"/>
      <c r="D6" s="16" t="s">
        <v>8</v>
      </c>
      <c r="E6" s="10"/>
      <c r="G6" s="10"/>
      <c r="H6" s="10"/>
      <c r="I6" s="10"/>
      <c r="J6" s="10"/>
      <c r="K6" s="10"/>
      <c r="L6" s="10"/>
      <c r="M6" s="10"/>
    </row>
    <row r="7" spans="1:13" ht="22.5" customHeight="1" x14ac:dyDescent="0.25">
      <c r="A7" s="1"/>
      <c r="C7"/>
      <c r="D7" s="43" t="s">
        <v>10</v>
      </c>
      <c r="E7" s="44" t="s">
        <v>11</v>
      </c>
      <c r="F7" s="44"/>
      <c r="G7" s="74" t="s">
        <v>1</v>
      </c>
      <c r="H7" s="10"/>
      <c r="I7" s="10"/>
      <c r="J7" s="10"/>
    </row>
    <row r="8" spans="1:13" x14ac:dyDescent="0.25">
      <c r="C8"/>
      <c r="D8" s="14">
        <f t="shared" ref="D8:D10" si="0">E8/100</f>
        <v>500</v>
      </c>
      <c r="E8" s="12">
        <v>50000</v>
      </c>
      <c r="F8" s="85">
        <v>9.5E-4</v>
      </c>
      <c r="G8" s="56">
        <f>E8*0.095%</f>
        <v>47.5</v>
      </c>
      <c r="H8" s="10"/>
      <c r="I8" s="10"/>
      <c r="J8" s="10"/>
      <c r="K8" s="1"/>
    </row>
    <row r="9" spans="1:13" x14ac:dyDescent="0.25">
      <c r="C9"/>
      <c r="D9" s="14">
        <f t="shared" si="0"/>
        <v>2000</v>
      </c>
      <c r="E9" s="12">
        <v>200000</v>
      </c>
      <c r="F9" s="85">
        <v>6.9999999999999999E-4</v>
      </c>
      <c r="G9" s="56">
        <f>E9*0.07%</f>
        <v>140.00000000000003</v>
      </c>
      <c r="H9" s="10"/>
      <c r="I9" s="10"/>
      <c r="J9" s="10"/>
      <c r="K9" s="1"/>
    </row>
    <row r="10" spans="1:13" x14ac:dyDescent="0.25">
      <c r="A10" s="1"/>
      <c r="C10"/>
      <c r="D10" s="14">
        <f t="shared" si="0"/>
        <v>5000</v>
      </c>
      <c r="E10" s="12">
        <v>500000</v>
      </c>
      <c r="F10" s="85">
        <v>5.5000000000000003E-4</v>
      </c>
      <c r="G10" s="56">
        <f>E10*0.055%</f>
        <v>275</v>
      </c>
      <c r="H10" s="10"/>
      <c r="I10" s="10"/>
      <c r="J10" s="10"/>
      <c r="K10" s="1"/>
    </row>
    <row r="11" spans="1:13" x14ac:dyDescent="0.25">
      <c r="C11"/>
      <c r="D11" s="14">
        <f>E11/100</f>
        <v>20000</v>
      </c>
      <c r="E11" s="12">
        <v>2000000</v>
      </c>
      <c r="F11" s="85">
        <v>4.0000000000000002E-4</v>
      </c>
      <c r="G11" s="56">
        <f>E11*0.04%</f>
        <v>800</v>
      </c>
      <c r="H11" s="10"/>
      <c r="I11" s="10"/>
      <c r="J11" s="10"/>
      <c r="K11" s="1"/>
    </row>
    <row r="12" spans="1:13" x14ac:dyDescent="0.25">
      <c r="C12"/>
      <c r="D12" s="14">
        <f>E12/100</f>
        <v>100000</v>
      </c>
      <c r="E12" s="12">
        <v>10000000</v>
      </c>
      <c r="F12" s="85">
        <v>2.9999999999999997E-4</v>
      </c>
      <c r="G12" s="56">
        <f>E12*0.03%</f>
        <v>2999.9999999999995</v>
      </c>
      <c r="H12" s="10"/>
      <c r="I12" s="10"/>
      <c r="J12" s="10"/>
      <c r="K12" s="1"/>
    </row>
    <row r="13" spans="1:13" x14ac:dyDescent="0.25">
      <c r="C13"/>
      <c r="D13" s="14">
        <f>E13/100</f>
        <v>200000</v>
      </c>
      <c r="E13" s="12">
        <v>20000000</v>
      </c>
      <c r="F13" s="85">
        <v>2.1000000000000001E-4</v>
      </c>
      <c r="G13" s="56">
        <f>E13*0.021%</f>
        <v>4200</v>
      </c>
      <c r="H13" s="10"/>
      <c r="I13" s="10"/>
      <c r="J13" s="10"/>
      <c r="K13" s="1"/>
      <c r="L13" s="8"/>
    </row>
    <row r="14" spans="1:13" ht="18" customHeight="1" x14ac:dyDescent="0.25">
      <c r="A14" s="1"/>
      <c r="B14" s="1"/>
      <c r="D14" s="22" t="s">
        <v>17</v>
      </c>
      <c r="E14" s="90" t="s">
        <v>54</v>
      </c>
      <c r="F14" s="25"/>
      <c r="G14" s="10"/>
      <c r="H14" s="10"/>
      <c r="I14" s="10"/>
    </row>
    <row r="15" spans="1:13" ht="18" customHeight="1" x14ac:dyDescent="0.25">
      <c r="A15" s="1"/>
      <c r="B15" s="1"/>
      <c r="D15" s="29" t="s">
        <v>36</v>
      </c>
      <c r="E15" s="23"/>
      <c r="F15" s="42"/>
      <c r="G15" s="86"/>
      <c r="H15" s="10"/>
      <c r="I15" s="10"/>
    </row>
    <row r="16" spans="1:13" ht="18" customHeight="1" x14ac:dyDescent="0.25">
      <c r="A16" s="1"/>
      <c r="B16" s="1"/>
      <c r="C16" s="2"/>
      <c r="D16" s="29" t="s">
        <v>15</v>
      </c>
      <c r="E16" s="23"/>
      <c r="F16" s="42"/>
      <c r="G16" s="42"/>
      <c r="H16" s="10"/>
      <c r="I16" s="10"/>
    </row>
    <row r="17" spans="1:9" ht="18" customHeight="1" x14ac:dyDescent="0.25">
      <c r="A17" s="1"/>
      <c r="B17" s="1"/>
      <c r="C17" s="2"/>
      <c r="D17" s="18" t="s">
        <v>42</v>
      </c>
      <c r="E17" s="5"/>
      <c r="F17" s="15"/>
      <c r="G17" s="15"/>
      <c r="H17" s="10"/>
      <c r="I17" s="10"/>
    </row>
    <row r="18" spans="1:9" ht="18" customHeight="1" x14ac:dyDescent="0.25">
      <c r="A18" s="1"/>
      <c r="B18" s="1"/>
      <c r="C18" s="2"/>
      <c r="D18" s="55" t="s">
        <v>41</v>
      </c>
      <c r="E18" s="45">
        <f>SUM(E15:E17)</f>
        <v>0</v>
      </c>
      <c r="F18" s="45">
        <f>SUM(F15:F17)</f>
        <v>0</v>
      </c>
      <c r="G18" s="45">
        <f>SUM(G15:G17)</f>
        <v>0</v>
      </c>
      <c r="H18" s="10"/>
      <c r="I18" s="10"/>
    </row>
    <row r="19" spans="1:9" x14ac:dyDescent="0.25">
      <c r="A19" s="1"/>
      <c r="C19"/>
      <c r="D19"/>
      <c r="G19" s="10"/>
      <c r="H19" s="10"/>
      <c r="I19" s="10"/>
    </row>
    <row r="20" spans="1:9" ht="18" customHeight="1" x14ac:dyDescent="0.25">
      <c r="A20" s="1"/>
      <c r="D20" s="40" t="s">
        <v>37</v>
      </c>
      <c r="G20" s="10"/>
      <c r="H20" s="10"/>
      <c r="I20" s="10"/>
    </row>
    <row r="21" spans="1:9" x14ac:dyDescent="0.25">
      <c r="A21" s="1"/>
      <c r="B21" s="1"/>
      <c r="D21" s="50" t="s">
        <v>44</v>
      </c>
      <c r="E21" s="50" t="s">
        <v>43</v>
      </c>
      <c r="F21" s="44" t="s">
        <v>1</v>
      </c>
      <c r="G21" s="10"/>
      <c r="H21" s="10"/>
      <c r="I21" s="10"/>
    </row>
    <row r="22" spans="1:9" ht="18" customHeight="1" x14ac:dyDescent="0.25">
      <c r="A22" s="1"/>
      <c r="B22" s="1"/>
      <c r="C22" s="2"/>
      <c r="D22" s="49" t="s">
        <v>38</v>
      </c>
      <c r="E22" s="12">
        <v>500000</v>
      </c>
      <c r="F22" s="85">
        <f>F8</f>
        <v>9.5E-4</v>
      </c>
      <c r="G22" s="10"/>
      <c r="H22" s="10"/>
      <c r="I22" s="10"/>
    </row>
    <row r="23" spans="1:9" ht="18" customHeight="1" x14ac:dyDescent="0.25">
      <c r="A23" s="1"/>
      <c r="B23" s="1"/>
      <c r="C23" s="2"/>
      <c r="D23" s="49" t="s">
        <v>39</v>
      </c>
      <c r="E23" s="12">
        <v>20000000</v>
      </c>
      <c r="F23" s="85">
        <f>F13</f>
        <v>2.1000000000000001E-4</v>
      </c>
      <c r="G23" s="10"/>
      <c r="H23" s="10"/>
      <c r="I23" s="10"/>
    </row>
    <row r="24" spans="1:9" x14ac:dyDescent="0.25">
      <c r="A24" s="1"/>
      <c r="C24" s="2"/>
      <c r="D24"/>
      <c r="G24" s="10"/>
      <c r="H24" s="10"/>
      <c r="I24" s="10"/>
    </row>
    <row r="25" spans="1:9" x14ac:dyDescent="0.25">
      <c r="G25" s="10"/>
      <c r="H25" s="10"/>
      <c r="I25" s="10"/>
    </row>
    <row r="26" spans="1:9" x14ac:dyDescent="0.25">
      <c r="C26" s="31" t="s">
        <v>53</v>
      </c>
      <c r="D26" t="s">
        <v>16</v>
      </c>
      <c r="G26" s="10"/>
      <c r="H26" s="10"/>
      <c r="I26" s="10"/>
    </row>
    <row r="27" spans="1:9" x14ac:dyDescent="0.25">
      <c r="G27" s="10"/>
      <c r="H27" s="10"/>
      <c r="I27" s="10"/>
    </row>
    <row r="28" spans="1:9" x14ac:dyDescent="0.25">
      <c r="C28"/>
      <c r="D28"/>
    </row>
    <row r="29" spans="1:9" x14ac:dyDescent="0.25">
      <c r="D29" s="1" t="s">
        <v>40</v>
      </c>
    </row>
  </sheetData>
  <mergeCells count="1">
    <mergeCell ref="D1:I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115" zoomScaleNormal="115" workbookViewId="0">
      <pane xSplit="1" ySplit="2" topLeftCell="B5" activePane="bottomRight" state="frozen"/>
      <selection pane="topRight" activeCell="E1" sqref="E1"/>
      <selection pane="bottomLeft" activeCell="A4" sqref="A4"/>
      <selection pane="bottomRight" activeCell="E13" sqref="E13"/>
    </sheetView>
  </sheetViews>
  <sheetFormatPr defaultRowHeight="15" x14ac:dyDescent="0.25"/>
  <cols>
    <col min="1" max="1" width="3.85546875" customWidth="1"/>
    <col min="2" max="2" width="14.85546875" customWidth="1"/>
    <col min="3" max="3" width="19.85546875" style="1" customWidth="1"/>
    <col min="4" max="4" width="31" style="1" customWidth="1"/>
    <col min="5" max="5" width="18.5703125" customWidth="1"/>
    <col min="6" max="6" width="18.42578125" customWidth="1"/>
    <col min="7" max="7" width="15.7109375" customWidth="1"/>
    <col min="8" max="8" width="17.140625" customWidth="1"/>
    <col min="9" max="9" width="17.7109375" style="1" customWidth="1"/>
    <col min="10" max="10" width="12.7109375" customWidth="1"/>
    <col min="11" max="11" width="16.85546875" customWidth="1"/>
    <col min="12" max="12" width="12.7109375" customWidth="1"/>
    <col min="13" max="13" width="13.7109375" customWidth="1"/>
    <col min="14" max="14" width="12" customWidth="1"/>
    <col min="15" max="15" width="8.28515625" customWidth="1"/>
    <col min="16" max="16" width="8" customWidth="1"/>
    <col min="17" max="17" width="11.85546875" customWidth="1"/>
    <col min="18" max="18" width="11.5703125" customWidth="1"/>
    <col min="19" max="20" width="15" customWidth="1"/>
    <col min="21" max="21" width="8.28515625" customWidth="1"/>
    <col min="22" max="22" width="13.7109375" customWidth="1"/>
  </cols>
  <sheetData>
    <row r="1" spans="1:13" ht="19.5" customHeight="1" x14ac:dyDescent="0.25">
      <c r="B1" s="17" t="s">
        <v>3</v>
      </c>
      <c r="D1" s="88" t="s">
        <v>6</v>
      </c>
      <c r="E1" s="88"/>
      <c r="F1" s="88"/>
      <c r="G1" s="88"/>
      <c r="H1" s="88"/>
      <c r="I1" s="88"/>
    </row>
    <row r="2" spans="1:13" ht="15.75" x14ac:dyDescent="0.25">
      <c r="D2" s="4" t="s">
        <v>12</v>
      </c>
      <c r="I2"/>
    </row>
    <row r="3" spans="1:13" ht="15.75" x14ac:dyDescent="0.25">
      <c r="D3" s="4"/>
      <c r="I3" s="3"/>
    </row>
    <row r="4" spans="1:13" x14ac:dyDescent="0.25">
      <c r="C4" s="10"/>
      <c r="D4" s="10" t="s">
        <v>52</v>
      </c>
      <c r="E4" s="1"/>
      <c r="F4" s="10"/>
      <c r="G4" s="10"/>
      <c r="H4" s="10"/>
      <c r="I4" s="10"/>
      <c r="J4" s="10"/>
      <c r="K4" s="10"/>
      <c r="L4" s="10"/>
      <c r="M4" s="10"/>
    </row>
    <row r="5" spans="1:13" x14ac:dyDescent="0.25">
      <c r="D5" s="10" t="s">
        <v>7</v>
      </c>
      <c r="E5" s="30">
        <v>75</v>
      </c>
      <c r="G5" s="10"/>
      <c r="H5" s="10"/>
      <c r="I5" s="10"/>
      <c r="J5" s="10"/>
      <c r="K5" s="10"/>
      <c r="L5" s="10"/>
      <c r="M5" s="10"/>
    </row>
    <row r="6" spans="1:13" x14ac:dyDescent="0.25">
      <c r="A6" s="1"/>
      <c r="B6" s="10"/>
      <c r="C6" s="2"/>
      <c r="E6" s="21">
        <f>E5</f>
        <v>75</v>
      </c>
      <c r="F6" s="10"/>
      <c r="G6" s="10"/>
      <c r="H6" s="10"/>
      <c r="I6" s="10"/>
      <c r="J6" s="10"/>
      <c r="K6" s="10"/>
      <c r="L6" s="10"/>
      <c r="M6" s="10"/>
    </row>
    <row r="7" spans="1:13" ht="18" customHeight="1" x14ac:dyDescent="0.25">
      <c r="A7" s="1"/>
      <c r="C7"/>
      <c r="D7" s="16" t="s">
        <v>13</v>
      </c>
      <c r="G7" s="1"/>
      <c r="I7"/>
    </row>
    <row r="8" spans="1:13" ht="22.5" customHeight="1" x14ac:dyDescent="0.25">
      <c r="A8" s="1"/>
      <c r="C8"/>
      <c r="D8" s="43" t="s">
        <v>10</v>
      </c>
      <c r="E8" s="44" t="s">
        <v>11</v>
      </c>
      <c r="F8" s="74" t="s">
        <v>1</v>
      </c>
      <c r="G8" s="74" t="s">
        <v>4</v>
      </c>
      <c r="H8" s="74" t="s">
        <v>46</v>
      </c>
      <c r="I8" s="74" t="s">
        <v>0</v>
      </c>
      <c r="K8" s="11"/>
    </row>
    <row r="9" spans="1:13" x14ac:dyDescent="0.25">
      <c r="A9" s="1"/>
      <c r="C9"/>
      <c r="D9" s="14">
        <v>5000</v>
      </c>
      <c r="E9" s="12">
        <f t="shared" ref="E9:F12" si="0">E22/$E$5</f>
        <v>6666.666666666667</v>
      </c>
      <c r="F9" s="9">
        <f t="shared" si="0"/>
        <v>4</v>
      </c>
      <c r="G9" s="19">
        <f>G22/$E$6</f>
        <v>20</v>
      </c>
      <c r="H9" s="54">
        <f>D9*0.003</f>
        <v>15</v>
      </c>
      <c r="I9" s="6">
        <v>10</v>
      </c>
    </row>
    <row r="10" spans="1:13" x14ac:dyDescent="0.25">
      <c r="A10" s="1"/>
      <c r="C10"/>
      <c r="D10" s="14">
        <v>20000</v>
      </c>
      <c r="E10" s="12">
        <f t="shared" si="0"/>
        <v>26666.666666666668</v>
      </c>
      <c r="F10" s="9">
        <f t="shared" si="0"/>
        <v>8</v>
      </c>
      <c r="G10" s="19">
        <f>G23/$E$6</f>
        <v>53.333333333333336</v>
      </c>
      <c r="H10" s="54">
        <f>D10*0.003</f>
        <v>60</v>
      </c>
      <c r="I10" s="6">
        <v>16.528424758478394</v>
      </c>
    </row>
    <row r="11" spans="1:13" x14ac:dyDescent="0.25">
      <c r="A11" s="1"/>
      <c r="C11"/>
      <c r="D11" s="14">
        <v>100000</v>
      </c>
      <c r="E11" s="12">
        <f t="shared" si="0"/>
        <v>133333.33333333334</v>
      </c>
      <c r="F11" s="9">
        <f t="shared" si="0"/>
        <v>33.333333333333336</v>
      </c>
      <c r="G11" s="19">
        <f>G24/$E$6</f>
        <v>266.66666666666669</v>
      </c>
      <c r="H11" s="54">
        <f t="shared" ref="H11:H12" si="1">D11*0.003</f>
        <v>300</v>
      </c>
      <c r="I11" s="6">
        <v>82.642123792391956</v>
      </c>
    </row>
    <row r="12" spans="1:13" x14ac:dyDescent="0.25">
      <c r="A12" s="1"/>
      <c r="C12"/>
      <c r="D12" s="14">
        <v>200000</v>
      </c>
      <c r="E12" s="12">
        <f t="shared" si="0"/>
        <v>266666.66666666669</v>
      </c>
      <c r="F12" s="9">
        <f t="shared" si="0"/>
        <v>53.333333333333336</v>
      </c>
      <c r="G12" s="19">
        <f>G25/$E$6</f>
        <v>533.33333333333337</v>
      </c>
      <c r="H12" s="54">
        <f t="shared" si="1"/>
        <v>600</v>
      </c>
      <c r="I12" s="6">
        <v>165.28424758478391</v>
      </c>
    </row>
    <row r="13" spans="1:13" ht="18" customHeight="1" x14ac:dyDescent="0.25">
      <c r="A13" s="1"/>
      <c r="B13" s="1"/>
      <c r="D13" s="22" t="s">
        <v>17</v>
      </c>
      <c r="E13" s="90" t="s">
        <v>54</v>
      </c>
      <c r="F13" s="25"/>
      <c r="G13" s="26"/>
      <c r="H13" s="27"/>
      <c r="I13" s="28"/>
    </row>
    <row r="14" spans="1:13" ht="18" customHeight="1" x14ac:dyDescent="0.25">
      <c r="A14" s="1"/>
      <c r="B14" s="1"/>
      <c r="D14" s="29" t="s">
        <v>36</v>
      </c>
      <c r="E14" s="23"/>
      <c r="F14" s="42"/>
      <c r="G14" s="42"/>
      <c r="H14" s="23"/>
      <c r="I14" s="23"/>
    </row>
    <row r="15" spans="1:13" ht="18" customHeight="1" x14ac:dyDescent="0.25">
      <c r="A15" s="1"/>
      <c r="B15" s="1"/>
      <c r="C15" s="2"/>
      <c r="D15" s="29" t="s">
        <v>15</v>
      </c>
      <c r="E15" s="23"/>
      <c r="F15" s="42"/>
      <c r="G15" s="42"/>
      <c r="H15" s="24"/>
      <c r="I15" s="23"/>
    </row>
    <row r="16" spans="1:13" ht="18" customHeight="1" x14ac:dyDescent="0.25">
      <c r="A16" s="1"/>
      <c r="B16" s="1"/>
      <c r="C16" s="2"/>
      <c r="D16" s="29"/>
      <c r="E16" s="23"/>
      <c r="F16" s="42"/>
      <c r="G16" s="42"/>
      <c r="H16" s="24"/>
      <c r="I16" s="23"/>
    </row>
    <row r="17" spans="1:13" ht="18" customHeight="1" x14ac:dyDescent="0.25">
      <c r="A17" s="1"/>
      <c r="B17" s="1"/>
      <c r="C17" s="2"/>
      <c r="D17" s="18" t="s">
        <v>42</v>
      </c>
      <c r="E17" s="5"/>
      <c r="F17" s="15"/>
      <c r="G17" s="42"/>
      <c r="H17" s="13"/>
      <c r="I17" s="5"/>
    </row>
    <row r="18" spans="1:13" ht="18" customHeight="1" x14ac:dyDescent="0.25">
      <c r="A18" s="1"/>
      <c r="B18" s="1"/>
      <c r="C18" s="2"/>
      <c r="D18" s="55" t="s">
        <v>41</v>
      </c>
      <c r="E18" s="45">
        <f>SUM(E14:E17)</f>
        <v>0</v>
      </c>
      <c r="F18" s="45">
        <f t="shared" ref="F18:I18" si="2">SUM(F14:F17)</f>
        <v>0</v>
      </c>
      <c r="G18" s="45">
        <f t="shared" si="2"/>
        <v>0</v>
      </c>
      <c r="H18" s="45">
        <f t="shared" si="2"/>
        <v>0</v>
      </c>
      <c r="I18" s="45">
        <f t="shared" si="2"/>
        <v>0</v>
      </c>
    </row>
    <row r="19" spans="1:13" ht="18" customHeight="1" x14ac:dyDescent="0.25">
      <c r="A19" s="1"/>
      <c r="B19" s="1"/>
      <c r="C19" s="2"/>
      <c r="D19" s="2"/>
      <c r="E19" s="2"/>
      <c r="F19" s="2"/>
      <c r="G19" s="2"/>
      <c r="H19" s="2"/>
      <c r="I19" s="2"/>
    </row>
    <row r="20" spans="1:13" ht="21" customHeight="1" x14ac:dyDescent="0.25">
      <c r="B20" s="10"/>
      <c r="C20"/>
      <c r="D20" s="16" t="s">
        <v>8</v>
      </c>
      <c r="E20" s="10"/>
      <c r="G20" s="10"/>
      <c r="H20" s="10"/>
      <c r="I20" s="10"/>
      <c r="J20" s="10"/>
      <c r="K20" s="10"/>
      <c r="L20" s="10"/>
      <c r="M20" s="10"/>
    </row>
    <row r="21" spans="1:13" ht="22.5" customHeight="1" x14ac:dyDescent="0.25">
      <c r="A21" s="1"/>
      <c r="C21"/>
      <c r="D21" s="43" t="s">
        <v>10</v>
      </c>
      <c r="E21" s="44" t="s">
        <v>11</v>
      </c>
      <c r="F21" s="74" t="s">
        <v>1</v>
      </c>
      <c r="G21" s="74" t="s">
        <v>4</v>
      </c>
      <c r="H21" s="74" t="s">
        <v>46</v>
      </c>
      <c r="I21" s="74" t="s">
        <v>0</v>
      </c>
    </row>
    <row r="22" spans="1:13" x14ac:dyDescent="0.25">
      <c r="A22" s="1"/>
      <c r="C22"/>
      <c r="D22" s="14">
        <v>5000</v>
      </c>
      <c r="E22" s="12">
        <v>500000</v>
      </c>
      <c r="F22" s="56">
        <f>E22*0.06%</f>
        <v>300</v>
      </c>
      <c r="G22" s="19">
        <v>1500</v>
      </c>
      <c r="H22" s="54">
        <f>H9*$E$5</f>
        <v>1125</v>
      </c>
      <c r="I22" s="48">
        <f>IF((E9*0.06%)&lt;=10,10,E9*0.06%)*E5</f>
        <v>750</v>
      </c>
      <c r="J22" s="1"/>
    </row>
    <row r="23" spans="1:13" x14ac:dyDescent="0.25">
      <c r="C23"/>
      <c r="D23" s="14">
        <v>20000</v>
      </c>
      <c r="E23" s="12">
        <v>2000000</v>
      </c>
      <c r="F23" s="56">
        <f>E23*0.03%</f>
        <v>600</v>
      </c>
      <c r="G23" s="19">
        <f>E23*0.2%</f>
        <v>4000</v>
      </c>
      <c r="H23" s="54">
        <f t="shared" ref="H23:H25" si="3">H10*$E$5</f>
        <v>4500</v>
      </c>
      <c r="I23" s="48">
        <f>IF((E10*0.06%)&lt;=10,10,E10*0.06%)*E5</f>
        <v>1200</v>
      </c>
      <c r="J23" s="1"/>
    </row>
    <row r="24" spans="1:13" x14ac:dyDescent="0.25">
      <c r="C24"/>
      <c r="D24" s="14">
        <v>100000</v>
      </c>
      <c r="E24" s="12">
        <v>10000000</v>
      </c>
      <c r="F24" s="56">
        <f>E24*0.025%</f>
        <v>2500</v>
      </c>
      <c r="G24" s="19">
        <f>E24*0.2%</f>
        <v>20000</v>
      </c>
      <c r="H24" s="54">
        <f t="shared" si="3"/>
        <v>22500</v>
      </c>
      <c r="I24" s="48">
        <f>IF((E11*0.06%)&lt;=10,10,E11*0.06%)*E5</f>
        <v>6000</v>
      </c>
      <c r="J24" s="1"/>
    </row>
    <row r="25" spans="1:13" x14ac:dyDescent="0.25">
      <c r="C25"/>
      <c r="D25" s="14">
        <v>200000</v>
      </c>
      <c r="E25" s="12">
        <v>20000000</v>
      </c>
      <c r="F25" s="56">
        <f>E25*0.02%</f>
        <v>4000</v>
      </c>
      <c r="G25" s="19">
        <f>E25*0.2%</f>
        <v>40000</v>
      </c>
      <c r="H25" s="54">
        <f t="shared" si="3"/>
        <v>45000</v>
      </c>
      <c r="I25" s="48">
        <f>IF((E12*0.06%)&lt;=10,10,E12*0.06%)*E5</f>
        <v>12000</v>
      </c>
      <c r="J25" s="1"/>
      <c r="K25" s="8"/>
    </row>
    <row r="26" spans="1:13" ht="18" customHeight="1" x14ac:dyDescent="0.25">
      <c r="A26" s="1"/>
      <c r="B26" s="1"/>
      <c r="D26" s="22" t="s">
        <v>17</v>
      </c>
      <c r="E26" s="90" t="s">
        <v>54</v>
      </c>
      <c r="F26" s="25"/>
      <c r="G26" s="26"/>
      <c r="H26" s="27"/>
      <c r="I26" s="28"/>
    </row>
    <row r="27" spans="1:13" ht="18" customHeight="1" x14ac:dyDescent="0.25">
      <c r="A27" s="1"/>
      <c r="B27" s="1"/>
      <c r="D27" s="91" t="s">
        <v>36</v>
      </c>
      <c r="E27" s="23"/>
      <c r="F27" s="42"/>
      <c r="G27" s="42"/>
      <c r="H27" s="23"/>
      <c r="I27" s="23"/>
    </row>
    <row r="28" spans="1:13" ht="18" customHeight="1" x14ac:dyDescent="0.25">
      <c r="A28" s="1"/>
      <c r="B28" s="1"/>
      <c r="C28" s="2"/>
      <c r="D28" s="29" t="s">
        <v>15</v>
      </c>
      <c r="E28" s="23"/>
      <c r="F28" s="42"/>
      <c r="G28" s="42"/>
      <c r="H28" s="24"/>
      <c r="I28" s="23"/>
    </row>
    <row r="29" spans="1:13" ht="18" customHeight="1" x14ac:dyDescent="0.25">
      <c r="A29" s="1"/>
      <c r="B29" s="1"/>
      <c r="C29" s="2"/>
      <c r="D29" s="29" t="s">
        <v>51</v>
      </c>
      <c r="E29" s="23"/>
      <c r="F29" s="42"/>
      <c r="G29" s="42"/>
      <c r="H29" s="24"/>
      <c r="I29" s="23"/>
    </row>
    <row r="30" spans="1:13" ht="18" customHeight="1" x14ac:dyDescent="0.25">
      <c r="A30" s="1"/>
      <c r="B30" s="1"/>
      <c r="C30" s="2"/>
      <c r="D30" s="18" t="s">
        <v>42</v>
      </c>
      <c r="E30" s="5"/>
      <c r="F30" s="15"/>
      <c r="G30" s="42"/>
      <c r="H30" s="13"/>
      <c r="I30" s="5"/>
    </row>
    <row r="31" spans="1:13" ht="18" customHeight="1" x14ac:dyDescent="0.25">
      <c r="A31" s="1"/>
      <c r="B31" s="1"/>
      <c r="C31" s="2"/>
      <c r="D31" s="55" t="s">
        <v>41</v>
      </c>
      <c r="E31" s="45">
        <f>E18/$E$5</f>
        <v>0</v>
      </c>
      <c r="F31" s="45">
        <f t="shared" ref="F31:I31" si="4">F18/$E$5</f>
        <v>0</v>
      </c>
      <c r="G31" s="45">
        <f t="shared" si="4"/>
        <v>0</v>
      </c>
      <c r="H31" s="45">
        <f t="shared" si="4"/>
        <v>0</v>
      </c>
      <c r="I31" s="45">
        <f t="shared" si="4"/>
        <v>0</v>
      </c>
    </row>
    <row r="32" spans="1:13" x14ac:dyDescent="0.25">
      <c r="A32" s="1"/>
      <c r="C32"/>
      <c r="D32"/>
      <c r="G32" s="1"/>
      <c r="I32"/>
    </row>
    <row r="33" spans="1:10" ht="18" customHeight="1" x14ac:dyDescent="0.25">
      <c r="A33" s="1"/>
      <c r="D33" s="40" t="s">
        <v>37</v>
      </c>
      <c r="I33"/>
    </row>
    <row r="34" spans="1:10" x14ac:dyDescent="0.25">
      <c r="A34" s="1"/>
      <c r="B34" s="1"/>
      <c r="D34" s="50" t="s">
        <v>44</v>
      </c>
      <c r="E34" s="50" t="s">
        <v>43</v>
      </c>
      <c r="F34" s="44" t="s">
        <v>1</v>
      </c>
      <c r="G34" s="44" t="s">
        <v>4</v>
      </c>
      <c r="H34" s="44" t="s">
        <v>2</v>
      </c>
      <c r="I34" s="44" t="s">
        <v>0</v>
      </c>
    </row>
    <row r="35" spans="1:10" ht="18" customHeight="1" x14ac:dyDescent="0.25">
      <c r="A35" s="1"/>
      <c r="B35" s="1"/>
      <c r="C35" s="2"/>
      <c r="D35" s="49" t="s">
        <v>38</v>
      </c>
      <c r="E35" s="12">
        <v>500000</v>
      </c>
      <c r="F35" s="46">
        <f>(F22+F31)/$E$22</f>
        <v>5.9999999999999995E-4</v>
      </c>
      <c r="G35" s="94">
        <f t="shared" ref="G35:I35" si="5">(G22+G31)/$E$22</f>
        <v>3.0000000000000001E-3</v>
      </c>
      <c r="H35" s="94">
        <f t="shared" si="5"/>
        <v>2.2499999999999998E-3</v>
      </c>
      <c r="I35" s="46">
        <f t="shared" si="5"/>
        <v>1.5E-3</v>
      </c>
    </row>
    <row r="36" spans="1:10" ht="18" customHeight="1" x14ac:dyDescent="0.25">
      <c r="A36" s="1"/>
      <c r="B36" s="1"/>
      <c r="C36" s="2"/>
      <c r="D36" s="49" t="s">
        <v>39</v>
      </c>
      <c r="E36" s="12">
        <v>20000000</v>
      </c>
      <c r="F36" s="47">
        <f>(F25+F31)/$E$25</f>
        <v>2.0000000000000001E-4</v>
      </c>
      <c r="G36" s="91">
        <f t="shared" ref="G36:I36" si="6">(G25+G31)/$E$25</f>
        <v>2E-3</v>
      </c>
      <c r="H36" s="91">
        <f t="shared" si="6"/>
        <v>2.2499999999999998E-3</v>
      </c>
      <c r="I36" s="47">
        <f t="shared" si="6"/>
        <v>5.9999999999999995E-4</v>
      </c>
    </row>
    <row r="37" spans="1:10" x14ac:dyDescent="0.25">
      <c r="A37" s="1"/>
      <c r="C37" s="2"/>
      <c r="D37"/>
      <c r="G37" s="1"/>
      <c r="I37"/>
    </row>
    <row r="39" spans="1:10" ht="32.25" customHeight="1" x14ac:dyDescent="0.25">
      <c r="C39" s="57" t="s">
        <v>53</v>
      </c>
      <c r="D39" s="89" t="s">
        <v>16</v>
      </c>
      <c r="E39" s="89"/>
      <c r="F39" s="89"/>
      <c r="G39" s="89"/>
      <c r="H39" s="89"/>
      <c r="I39" s="89"/>
      <c r="J39" s="89"/>
    </row>
    <row r="41" spans="1:10" x14ac:dyDescent="0.25">
      <c r="C41"/>
      <c r="D41"/>
    </row>
    <row r="42" spans="1:10" x14ac:dyDescent="0.25">
      <c r="D42" s="1" t="s">
        <v>40</v>
      </c>
    </row>
  </sheetData>
  <mergeCells count="2">
    <mergeCell ref="D1:I1"/>
    <mergeCell ref="D39:J3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115" zoomScaleNormal="115" workbookViewId="0">
      <selection activeCell="E15" sqref="E15"/>
    </sheetView>
  </sheetViews>
  <sheetFormatPr defaultRowHeight="15" x14ac:dyDescent="0.25"/>
  <cols>
    <col min="1" max="1" width="3.85546875" customWidth="1"/>
    <col min="2" max="2" width="14.85546875" customWidth="1"/>
    <col min="3" max="3" width="17.140625" style="1" customWidth="1"/>
    <col min="4" max="4" width="24" style="1" customWidth="1"/>
    <col min="5" max="5" width="20.28515625" customWidth="1"/>
    <col min="6" max="6" width="14.7109375" customWidth="1"/>
    <col min="7" max="7" width="14.5703125" customWidth="1"/>
    <col min="8" max="8" width="15.85546875" customWidth="1"/>
    <col min="9" max="9" width="16" style="1" customWidth="1"/>
    <col min="10" max="10" width="14.140625" customWidth="1"/>
    <col min="11" max="12" width="12.7109375" customWidth="1"/>
    <col min="13" max="13" width="13.7109375" customWidth="1"/>
    <col min="14" max="14" width="12" customWidth="1"/>
    <col min="15" max="19" width="13.140625" customWidth="1"/>
    <col min="20" max="20" width="15" customWidth="1"/>
    <col min="21" max="21" width="8.28515625" customWidth="1"/>
    <col min="22" max="22" width="13.7109375" customWidth="1"/>
  </cols>
  <sheetData>
    <row r="1" spans="1:17" ht="19.5" customHeight="1" x14ac:dyDescent="0.25">
      <c r="B1" s="17" t="s">
        <v>3</v>
      </c>
      <c r="D1" s="88" t="s">
        <v>6</v>
      </c>
      <c r="E1" s="88"/>
      <c r="F1" s="88"/>
      <c r="G1" s="88"/>
      <c r="H1" s="88"/>
      <c r="I1" s="88"/>
    </row>
    <row r="2" spans="1:17" ht="15.75" x14ac:dyDescent="0.25">
      <c r="D2" s="4" t="s">
        <v>48</v>
      </c>
      <c r="I2"/>
    </row>
    <row r="3" spans="1:17" x14ac:dyDescent="0.25">
      <c r="C3"/>
      <c r="I3"/>
      <c r="L3" s="70"/>
    </row>
    <row r="4" spans="1:17" x14ac:dyDescent="0.25">
      <c r="C4" s="10"/>
      <c r="D4" s="10" t="s">
        <v>52</v>
      </c>
      <c r="E4" s="10"/>
      <c r="F4" s="10"/>
      <c r="G4" s="10"/>
      <c r="H4" s="10"/>
      <c r="I4" s="10"/>
      <c r="J4" s="10"/>
      <c r="K4" s="10"/>
      <c r="L4" s="10"/>
    </row>
    <row r="5" spans="1:17" x14ac:dyDescent="0.25">
      <c r="C5" s="10"/>
      <c r="D5" s="10" t="s">
        <v>7</v>
      </c>
      <c r="E5" s="30">
        <v>72.602199999999996</v>
      </c>
      <c r="F5" s="10"/>
      <c r="G5" s="10"/>
      <c r="H5" s="10"/>
      <c r="I5" s="10"/>
      <c r="J5" s="10"/>
      <c r="K5" s="10"/>
      <c r="L5" s="10"/>
    </row>
    <row r="6" spans="1:17" s="72" customFormat="1" x14ac:dyDescent="0.25">
      <c r="E6" s="73"/>
      <c r="F6" s="73"/>
      <c r="G6" s="73"/>
      <c r="H6" s="72">
        <f>H9*H8</f>
        <v>31.6</v>
      </c>
      <c r="I6" s="72">
        <f t="shared" ref="I6:Q6" si="0">I9*I8</f>
        <v>17.920000000000002</v>
      </c>
      <c r="J6" s="72">
        <f t="shared" si="0"/>
        <v>33.6</v>
      </c>
      <c r="K6" s="72">
        <f>K9*K8</f>
        <v>28.999880000000001</v>
      </c>
      <c r="L6" s="72">
        <f t="shared" si="0"/>
        <v>76.984200000000001</v>
      </c>
      <c r="M6" s="72">
        <f t="shared" si="0"/>
        <v>44.800000000000004</v>
      </c>
      <c r="N6" s="72">
        <f t="shared" si="0"/>
        <v>22.2516</v>
      </c>
      <c r="O6" s="72">
        <f t="shared" si="0"/>
        <v>28.695</v>
      </c>
      <c r="P6" s="72">
        <f t="shared" si="0"/>
        <v>0</v>
      </c>
      <c r="Q6" s="72">
        <f t="shared" si="0"/>
        <v>21.96987</v>
      </c>
    </row>
    <row r="7" spans="1:17" s="1" customFormat="1" ht="15.75" x14ac:dyDescent="0.25">
      <c r="D7" s="10" t="s">
        <v>47</v>
      </c>
      <c r="E7" s="32"/>
      <c r="F7" s="33" t="s">
        <v>5</v>
      </c>
      <c r="G7" s="32" t="s">
        <v>5</v>
      </c>
      <c r="H7" s="32" t="s">
        <v>27</v>
      </c>
      <c r="I7" s="32" t="s">
        <v>25</v>
      </c>
      <c r="J7" s="32" t="s">
        <v>25</v>
      </c>
      <c r="K7" s="32" t="s">
        <v>28</v>
      </c>
      <c r="L7" s="32" t="s">
        <v>29</v>
      </c>
      <c r="M7" s="32" t="s">
        <v>25</v>
      </c>
      <c r="N7" s="32" t="s">
        <v>24</v>
      </c>
      <c r="O7" s="32" t="s">
        <v>31</v>
      </c>
      <c r="P7" s="32" t="s">
        <v>5</v>
      </c>
      <c r="Q7" s="32" t="s">
        <v>34</v>
      </c>
    </row>
    <row r="8" spans="1:17" s="34" customFormat="1" ht="21" customHeight="1" x14ac:dyDescent="0.25">
      <c r="C8" s="35"/>
      <c r="E8" s="35"/>
      <c r="F8" s="37">
        <v>72.602199999999996</v>
      </c>
      <c r="G8" s="36">
        <v>72.602199999999996</v>
      </c>
      <c r="H8" s="36">
        <v>0.79</v>
      </c>
      <c r="I8" s="36">
        <v>1.1200000000000001</v>
      </c>
      <c r="J8" s="36">
        <v>1.1200000000000001</v>
      </c>
      <c r="K8" s="71">
        <v>0.111538</v>
      </c>
      <c r="L8" s="36">
        <v>0.128307</v>
      </c>
      <c r="M8" s="36">
        <v>1.1200000000000001</v>
      </c>
      <c r="N8" s="36">
        <v>0.111258</v>
      </c>
      <c r="O8" s="34">
        <v>0.239125</v>
      </c>
      <c r="P8" s="36"/>
      <c r="Q8" s="34">
        <v>0.73232900000000001</v>
      </c>
    </row>
    <row r="9" spans="1:17" ht="18" customHeight="1" x14ac:dyDescent="0.25">
      <c r="A9" s="1"/>
      <c r="B9" s="1"/>
      <c r="C9"/>
      <c r="D9" s="16" t="s">
        <v>13</v>
      </c>
      <c r="F9">
        <v>20</v>
      </c>
      <c r="G9" s="64">
        <v>20</v>
      </c>
      <c r="H9">
        <v>40</v>
      </c>
      <c r="I9">
        <v>16</v>
      </c>
      <c r="J9">
        <v>30</v>
      </c>
      <c r="K9">
        <v>260</v>
      </c>
      <c r="L9">
        <v>600</v>
      </c>
      <c r="M9">
        <v>40</v>
      </c>
      <c r="N9">
        <v>200</v>
      </c>
      <c r="O9">
        <v>120</v>
      </c>
      <c r="P9">
        <v>15</v>
      </c>
      <c r="Q9">
        <v>30</v>
      </c>
    </row>
    <row r="10" spans="1:17" ht="33.75" customHeight="1" x14ac:dyDescent="0.25">
      <c r="A10" s="1"/>
      <c r="B10" s="1"/>
      <c r="C10"/>
      <c r="D10" s="44" t="s">
        <v>10</v>
      </c>
      <c r="E10" s="44" t="s">
        <v>11</v>
      </c>
      <c r="F10" s="61" t="s">
        <v>0</v>
      </c>
      <c r="G10" s="62" t="s">
        <v>14</v>
      </c>
      <c r="H10" s="61" t="s">
        <v>18</v>
      </c>
      <c r="I10" s="62" t="s">
        <v>26</v>
      </c>
      <c r="J10" s="61" t="s">
        <v>19</v>
      </c>
      <c r="K10" s="61" t="s">
        <v>20</v>
      </c>
      <c r="L10" s="61" t="s">
        <v>21</v>
      </c>
      <c r="M10" s="62" t="s">
        <v>22</v>
      </c>
      <c r="N10" s="62" t="s">
        <v>23</v>
      </c>
      <c r="O10" s="62" t="s">
        <v>30</v>
      </c>
      <c r="P10" s="62" t="s">
        <v>32</v>
      </c>
      <c r="Q10" s="62" t="s">
        <v>33</v>
      </c>
    </row>
    <row r="11" spans="1:17" x14ac:dyDescent="0.25">
      <c r="A11" s="1"/>
      <c r="B11" s="1"/>
      <c r="C11"/>
      <c r="D11" s="14">
        <v>5000</v>
      </c>
      <c r="E11" s="65">
        <v>5000</v>
      </c>
      <c r="F11" s="60">
        <f>IF(E11*0.3%&lt;=20,20,E11*0.3%)</f>
        <v>20</v>
      </c>
      <c r="G11" s="60">
        <f>IF(D11*0.02&lt;=20,20,D11*0.02)</f>
        <v>100</v>
      </c>
      <c r="H11" s="60">
        <f>IF($E$11*0.3%&lt;=$H$6,$H$6,$E$11*0.3%)</f>
        <v>31.6</v>
      </c>
      <c r="I11" s="60">
        <f>IF(E11*0.3%&lt;=$I$6,$I$6,E11*0.3%)</f>
        <v>17.920000000000002</v>
      </c>
      <c r="J11" s="60">
        <f>IF(E11*0.3%&lt;=$J$6,$J$6,E11*0.3%)</f>
        <v>33.6</v>
      </c>
      <c r="K11" s="60">
        <f>IF(E11*0.3%&lt;=$K$6,$K$6,E11*0.3%)</f>
        <v>28.999880000000001</v>
      </c>
      <c r="L11" s="60">
        <f>IF(E11*0.3%&lt;=$L$6,$L$6,E11*0.3%)</f>
        <v>76.984200000000001</v>
      </c>
      <c r="M11" s="60">
        <f>IF(E11*0.3%&lt;=$M$6,$M$6,E11*0.3%)</f>
        <v>44.800000000000004</v>
      </c>
      <c r="N11" s="39">
        <f>IF(E11*0.3%&lt;=$N$6,$N$6,E11*0.3%)</f>
        <v>22.2516</v>
      </c>
      <c r="O11" s="39">
        <f>IF(E11*0.3%&lt;=$O$6,$O$6,E11*0.3%)</f>
        <v>28.695</v>
      </c>
      <c r="P11" s="39">
        <f>IF(E11*0.3%&lt;=$P$6,$P$6,E11*0.3%)</f>
        <v>15</v>
      </c>
      <c r="Q11" s="39">
        <f>IF(E11*0.3%&lt;=$Q$6,$Q$6,E11*0.3%)</f>
        <v>21.96987</v>
      </c>
    </row>
    <row r="12" spans="1:17" x14ac:dyDescent="0.25">
      <c r="A12" s="1"/>
      <c r="B12" s="1"/>
      <c r="C12"/>
      <c r="D12" s="14">
        <v>20000</v>
      </c>
      <c r="E12" s="65">
        <v>20000</v>
      </c>
      <c r="F12" s="60">
        <f t="shared" ref="F12:F14" si="1">IF(E12*0.3%&lt;=20,20,E12*0.3%)</f>
        <v>60</v>
      </c>
      <c r="G12" s="60">
        <f>IF(D12*0.02&lt;=20,20,D12*0.02)</f>
        <v>400</v>
      </c>
      <c r="H12" s="60">
        <f>IF(E12*0.3%&lt;=$H$6,$H$6,E12*0.3%)</f>
        <v>60</v>
      </c>
      <c r="I12" s="60">
        <f t="shared" ref="I12:I14" si="2">IF(E12*0.3%&lt;=$I$6,$I$6,E12*0.3%)</f>
        <v>60</v>
      </c>
      <c r="J12" s="60">
        <f t="shared" ref="J12:J14" si="3">IF(E12*0.3%&lt;=$J$6,$J$6,E12*0.3%)</f>
        <v>60</v>
      </c>
      <c r="K12" s="60">
        <f t="shared" ref="K12:K14" si="4">IF(E12*0.3%&lt;=$K$6,$K$6,E12*0.3%)</f>
        <v>60</v>
      </c>
      <c r="L12" s="60">
        <f t="shared" ref="L12:L14" si="5">IF(E12*0.3%&lt;=$L$6,$L$6,E12*0.3%)</f>
        <v>76.984200000000001</v>
      </c>
      <c r="M12" s="60">
        <f t="shared" ref="M12:M14" si="6">IF(E12*0.3%&lt;=$M$6,$M$6,E12*0.3%)</f>
        <v>60</v>
      </c>
      <c r="N12" s="39">
        <f t="shared" ref="N12:N13" si="7">IF(E12*0.3%&lt;=$N$6,$N$6,E12*0.3%)</f>
        <v>60</v>
      </c>
      <c r="O12" s="39">
        <f t="shared" ref="O12:O14" si="8">IF(E12*0.3%&lt;=$O$6,$O$6,E12*0.3%)</f>
        <v>60</v>
      </c>
      <c r="P12" s="39">
        <f t="shared" ref="P12:P14" si="9">IF(E12*0.3%&lt;=$P$6,$P$6,E12*0.3%)</f>
        <v>60</v>
      </c>
      <c r="Q12" s="39">
        <f t="shared" ref="Q12:Q14" si="10">IF(E12*0.3%&lt;=$Q$6,$Q$6,E12*0.3%)</f>
        <v>60</v>
      </c>
    </row>
    <row r="13" spans="1:17" x14ac:dyDescent="0.25">
      <c r="A13" s="1"/>
      <c r="B13" s="1"/>
      <c r="C13"/>
      <c r="D13" s="14">
        <v>100000</v>
      </c>
      <c r="E13" s="65">
        <v>100000</v>
      </c>
      <c r="F13" s="60">
        <f t="shared" si="1"/>
        <v>300</v>
      </c>
      <c r="G13" s="60">
        <f>IF(D13*0.02&lt;=20,20,D13*0.02)</f>
        <v>2000</v>
      </c>
      <c r="H13" s="60">
        <f>IF(E13*0.3%&lt;=$H$6,$H$6,E13*0.3%)</f>
        <v>300</v>
      </c>
      <c r="I13" s="60">
        <f t="shared" si="2"/>
        <v>300</v>
      </c>
      <c r="J13" s="60">
        <f t="shared" si="3"/>
        <v>300</v>
      </c>
      <c r="K13" s="60">
        <f t="shared" si="4"/>
        <v>300</v>
      </c>
      <c r="L13" s="60">
        <f t="shared" si="5"/>
        <v>300</v>
      </c>
      <c r="M13" s="60">
        <f t="shared" si="6"/>
        <v>300</v>
      </c>
      <c r="N13" s="39">
        <f t="shared" si="7"/>
        <v>300</v>
      </c>
      <c r="O13" s="39">
        <f t="shared" si="8"/>
        <v>300</v>
      </c>
      <c r="P13" s="39">
        <f t="shared" si="9"/>
        <v>300</v>
      </c>
      <c r="Q13" s="39">
        <f t="shared" si="10"/>
        <v>300</v>
      </c>
    </row>
    <row r="14" spans="1:17" x14ac:dyDescent="0.25">
      <c r="A14" s="1"/>
      <c r="B14" s="1"/>
      <c r="C14"/>
      <c r="D14" s="14">
        <v>2000000</v>
      </c>
      <c r="E14" s="65">
        <v>2000000</v>
      </c>
      <c r="F14" s="60">
        <f t="shared" si="1"/>
        <v>6000</v>
      </c>
      <c r="G14" s="60">
        <f>IF(D14*0.02&lt;=20,20,D14*0.02)</f>
        <v>40000</v>
      </c>
      <c r="H14" s="60">
        <f>IF(E14*0.3%&lt;=$H$6,$H$6,E14*0.3%)</f>
        <v>6000</v>
      </c>
      <c r="I14" s="60">
        <f t="shared" si="2"/>
        <v>6000</v>
      </c>
      <c r="J14" s="60">
        <f t="shared" si="3"/>
        <v>6000</v>
      </c>
      <c r="K14" s="60">
        <f t="shared" si="4"/>
        <v>6000</v>
      </c>
      <c r="L14" s="60">
        <f t="shared" si="5"/>
        <v>6000</v>
      </c>
      <c r="M14" s="60">
        <f t="shared" si="6"/>
        <v>6000</v>
      </c>
      <c r="N14" s="39">
        <f>IF(E14*0.3%&lt;=$N$6,$N$6,E14*0.3%)</f>
        <v>6000</v>
      </c>
      <c r="O14" s="39">
        <f t="shared" si="8"/>
        <v>6000</v>
      </c>
      <c r="P14" s="39">
        <f t="shared" si="9"/>
        <v>6000</v>
      </c>
      <c r="Q14" s="39">
        <f t="shared" si="10"/>
        <v>6000</v>
      </c>
    </row>
    <row r="15" spans="1:17" ht="18" customHeight="1" x14ac:dyDescent="0.25">
      <c r="A15" s="1"/>
      <c r="B15" s="1"/>
      <c r="D15" s="22" t="s">
        <v>17</v>
      </c>
      <c r="E15" s="90" t="s">
        <v>54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7" ht="18" customHeight="1" x14ac:dyDescent="0.25">
      <c r="A16" s="1"/>
      <c r="B16" s="1"/>
      <c r="D16" s="29" t="s">
        <v>36</v>
      </c>
      <c r="E16" s="23"/>
      <c r="F16" s="42"/>
      <c r="G16" s="42"/>
      <c r="H16" s="42"/>
      <c r="I16" s="23"/>
      <c r="J16" s="23"/>
      <c r="K16" s="23"/>
      <c r="L16" s="23"/>
      <c r="M16" s="23"/>
      <c r="N16" s="23"/>
      <c r="O16" s="23"/>
      <c r="P16" s="23"/>
      <c r="Q16" s="23"/>
    </row>
    <row r="17" spans="1:17" ht="18" customHeight="1" x14ac:dyDescent="0.25">
      <c r="A17" s="1"/>
      <c r="B17" s="1"/>
      <c r="C17" s="2"/>
      <c r="D17" s="29" t="s">
        <v>15</v>
      </c>
      <c r="E17" s="23"/>
      <c r="F17" s="42"/>
      <c r="G17" s="42"/>
      <c r="H17" s="24"/>
      <c r="I17" s="23"/>
      <c r="J17" s="23"/>
      <c r="K17" s="23"/>
      <c r="L17" s="23"/>
      <c r="M17" s="23"/>
      <c r="N17" s="23"/>
      <c r="O17" s="23"/>
      <c r="P17" s="23"/>
      <c r="Q17" s="23"/>
    </row>
    <row r="18" spans="1:17" ht="18" customHeight="1" x14ac:dyDescent="0.25">
      <c r="A18" s="1"/>
      <c r="B18" s="1"/>
      <c r="C18" s="2"/>
      <c r="D18" s="29" t="s">
        <v>51</v>
      </c>
      <c r="E18" s="23"/>
      <c r="F18" s="42"/>
      <c r="G18" s="42"/>
      <c r="H18" s="24"/>
      <c r="I18" s="23"/>
      <c r="J18" s="23"/>
      <c r="K18" s="23"/>
      <c r="L18" s="23"/>
      <c r="M18" s="23"/>
      <c r="N18" s="23"/>
      <c r="O18" s="23"/>
      <c r="P18" s="23"/>
      <c r="Q18" s="23"/>
    </row>
    <row r="19" spans="1:17" ht="18" customHeight="1" x14ac:dyDescent="0.25">
      <c r="A19" s="1"/>
      <c r="B19" s="1"/>
      <c r="C19" s="2"/>
      <c r="D19" s="18" t="s">
        <v>42</v>
      </c>
      <c r="E19" s="5"/>
      <c r="F19" s="15"/>
      <c r="G19" s="42"/>
      <c r="H19" s="13"/>
      <c r="I19" s="5"/>
      <c r="J19" s="5"/>
      <c r="K19" s="5"/>
      <c r="L19" s="5"/>
      <c r="M19" s="5"/>
      <c r="N19" s="5"/>
      <c r="O19" s="5"/>
      <c r="P19" s="5"/>
      <c r="Q19" s="5"/>
    </row>
    <row r="20" spans="1:17" ht="18" customHeight="1" x14ac:dyDescent="0.25">
      <c r="A20" s="1"/>
      <c r="B20" s="1"/>
      <c r="C20" s="2"/>
      <c r="D20" s="55" t="s">
        <v>41</v>
      </c>
      <c r="E20" s="45"/>
      <c r="F20" s="45">
        <f t="shared" ref="F20:I20" si="11">SUM(F16:F19)</f>
        <v>0</v>
      </c>
      <c r="G20" s="45">
        <f t="shared" si="11"/>
        <v>0</v>
      </c>
      <c r="H20" s="45">
        <f t="shared" si="11"/>
        <v>0</v>
      </c>
      <c r="I20" s="45">
        <f t="shared" si="11"/>
        <v>0</v>
      </c>
      <c r="J20" s="45">
        <f t="shared" ref="J20" si="12">SUM(J16:J19)</f>
        <v>0</v>
      </c>
      <c r="K20" s="45">
        <f t="shared" ref="K20" si="13">SUM(K16:K19)</f>
        <v>0</v>
      </c>
      <c r="L20" s="45">
        <f t="shared" ref="L20" si="14">SUM(L16:L19)</f>
        <v>0</v>
      </c>
      <c r="M20" s="45">
        <f t="shared" ref="M20" si="15">SUM(M16:M19)</f>
        <v>0</v>
      </c>
      <c r="N20" s="45">
        <f t="shared" ref="N20" si="16">SUM(N16:N19)</f>
        <v>0</v>
      </c>
      <c r="O20" s="45">
        <f t="shared" ref="O20" si="17">SUM(O16:O19)</f>
        <v>0</v>
      </c>
      <c r="P20" s="45">
        <f t="shared" ref="P20" si="18">SUM(P16:P19)</f>
        <v>0</v>
      </c>
      <c r="Q20" s="45">
        <f t="shared" ref="Q20" si="19">SUM(Q16:Q19)</f>
        <v>0</v>
      </c>
    </row>
    <row r="21" spans="1:17" s="38" customFormat="1" x14ac:dyDescent="0.25">
      <c r="D21" s="66"/>
      <c r="E21" s="67"/>
      <c r="F21" s="68">
        <f t="shared" ref="F21:Q21" si="20">F14/$E$14</f>
        <v>3.0000000000000001E-3</v>
      </c>
      <c r="G21" s="69">
        <f t="shared" si="20"/>
        <v>0.02</v>
      </c>
      <c r="H21" s="68">
        <f t="shared" si="20"/>
        <v>3.0000000000000001E-3</v>
      </c>
      <c r="I21" s="68">
        <f t="shared" si="20"/>
        <v>3.0000000000000001E-3</v>
      </c>
      <c r="J21" s="68">
        <f t="shared" si="20"/>
        <v>3.0000000000000001E-3</v>
      </c>
      <c r="K21" s="68">
        <f t="shared" si="20"/>
        <v>3.0000000000000001E-3</v>
      </c>
      <c r="L21" s="68">
        <f t="shared" si="20"/>
        <v>3.0000000000000001E-3</v>
      </c>
      <c r="M21" s="68">
        <f t="shared" si="20"/>
        <v>3.0000000000000001E-3</v>
      </c>
      <c r="N21" s="68">
        <f t="shared" si="20"/>
        <v>3.0000000000000001E-3</v>
      </c>
      <c r="O21" s="68">
        <f t="shared" si="20"/>
        <v>3.0000000000000001E-3</v>
      </c>
      <c r="P21" s="68">
        <f t="shared" si="20"/>
        <v>3.0000000000000001E-3</v>
      </c>
      <c r="Q21" s="68">
        <f t="shared" si="20"/>
        <v>3.0000000000000001E-3</v>
      </c>
    </row>
    <row r="23" spans="1:17" x14ac:dyDescent="0.25">
      <c r="D23" s="40" t="s">
        <v>37</v>
      </c>
    </row>
    <row r="24" spans="1:17" ht="45" x14ac:dyDescent="0.25">
      <c r="D24" s="50" t="s">
        <v>44</v>
      </c>
      <c r="E24" s="50" t="s">
        <v>43</v>
      </c>
      <c r="F24" s="61" t="s">
        <v>0</v>
      </c>
      <c r="G24" s="62" t="s">
        <v>14</v>
      </c>
      <c r="H24" s="61" t="s">
        <v>18</v>
      </c>
      <c r="I24" s="62" t="s">
        <v>26</v>
      </c>
      <c r="J24" s="62" t="str">
        <f>J10</f>
        <v>XETRA</v>
      </c>
      <c r="K24" s="62" t="str">
        <f t="shared" ref="K24:Q24" si="21">K10</f>
        <v xml:space="preserve">Oslo SE </v>
      </c>
      <c r="L24" s="62" t="str">
        <f t="shared" si="21"/>
        <v>NKEX</v>
      </c>
      <c r="M24" s="62" t="str">
        <f t="shared" si="21"/>
        <v>NASDAQ OMX (Finland)</v>
      </c>
      <c r="N24" s="62" t="str">
        <f t="shared" si="21"/>
        <v>NASDAQ OMX (Sweden)</v>
      </c>
      <c r="O24" s="62" t="str">
        <f t="shared" si="21"/>
        <v>WSX Warsaw</v>
      </c>
      <c r="P24" s="62" t="str">
        <f t="shared" si="21"/>
        <v>CHI-X</v>
      </c>
      <c r="Q24" s="62" t="str">
        <f t="shared" si="21"/>
        <v>SGX, Singapore</v>
      </c>
    </row>
    <row r="25" spans="1:17" x14ac:dyDescent="0.25">
      <c r="D25" s="49" t="s">
        <v>38</v>
      </c>
      <c r="E25" s="12">
        <v>500000</v>
      </c>
      <c r="F25" s="68">
        <f t="shared" ref="F25:Q25" si="22">(F11+F20)/$E$11</f>
        <v>4.0000000000000001E-3</v>
      </c>
      <c r="G25" s="68">
        <f t="shared" si="22"/>
        <v>0.02</v>
      </c>
      <c r="H25" s="68">
        <f t="shared" si="22"/>
        <v>6.3200000000000001E-3</v>
      </c>
      <c r="I25" s="68">
        <f t="shared" si="22"/>
        <v>3.5840000000000004E-3</v>
      </c>
      <c r="J25" s="68">
        <f t="shared" si="22"/>
        <v>6.7200000000000003E-3</v>
      </c>
      <c r="K25" s="68">
        <f t="shared" si="22"/>
        <v>5.7999760000000001E-3</v>
      </c>
      <c r="L25" s="68">
        <f t="shared" si="22"/>
        <v>1.539684E-2</v>
      </c>
      <c r="M25" s="68">
        <f t="shared" si="22"/>
        <v>8.9600000000000009E-3</v>
      </c>
      <c r="N25" s="68">
        <f t="shared" si="22"/>
        <v>4.4503199999999998E-3</v>
      </c>
      <c r="O25" s="68">
        <f t="shared" si="22"/>
        <v>5.7390000000000002E-3</v>
      </c>
      <c r="P25" s="68">
        <f t="shared" si="22"/>
        <v>3.0000000000000001E-3</v>
      </c>
      <c r="Q25" s="68">
        <f t="shared" si="22"/>
        <v>4.3939740000000001E-3</v>
      </c>
    </row>
    <row r="26" spans="1:17" x14ac:dyDescent="0.25">
      <c r="D26" s="49" t="s">
        <v>39</v>
      </c>
      <c r="E26" s="12">
        <v>20000000</v>
      </c>
      <c r="F26" s="68">
        <f t="shared" ref="F26:Q26" si="23">(F14+F20)/$E$14</f>
        <v>3.0000000000000001E-3</v>
      </c>
      <c r="G26" s="68">
        <f t="shared" si="23"/>
        <v>0.02</v>
      </c>
      <c r="H26" s="68">
        <f t="shared" si="23"/>
        <v>3.0000000000000001E-3</v>
      </c>
      <c r="I26" s="68">
        <f t="shared" si="23"/>
        <v>3.0000000000000001E-3</v>
      </c>
      <c r="J26" s="68">
        <f t="shared" si="23"/>
        <v>3.0000000000000001E-3</v>
      </c>
      <c r="K26" s="68">
        <f t="shared" si="23"/>
        <v>3.0000000000000001E-3</v>
      </c>
      <c r="L26" s="68">
        <f t="shared" si="23"/>
        <v>3.0000000000000001E-3</v>
      </c>
      <c r="M26" s="68">
        <f t="shared" si="23"/>
        <v>3.0000000000000001E-3</v>
      </c>
      <c r="N26" s="68">
        <f t="shared" si="23"/>
        <v>3.0000000000000001E-3</v>
      </c>
      <c r="O26" s="68">
        <f t="shared" si="23"/>
        <v>3.0000000000000001E-3</v>
      </c>
      <c r="P26" s="68">
        <f t="shared" si="23"/>
        <v>3.0000000000000001E-3</v>
      </c>
      <c r="Q26" s="68">
        <f t="shared" si="23"/>
        <v>3.0000000000000001E-3</v>
      </c>
    </row>
  </sheetData>
  <mergeCells count="1">
    <mergeCell ref="D1:I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115" zoomScaleNormal="115" workbookViewId="0">
      <pane xSplit="1" ySplit="2" topLeftCell="B3" activePane="bottomRight" state="frozen"/>
      <selection pane="topRight" activeCell="E1" sqref="E1"/>
      <selection pane="bottomLeft" activeCell="A4" sqref="A4"/>
      <selection pane="bottomRight" activeCell="J35" sqref="J35"/>
    </sheetView>
  </sheetViews>
  <sheetFormatPr defaultRowHeight="15" x14ac:dyDescent="0.25"/>
  <cols>
    <col min="1" max="1" width="3.85546875" customWidth="1"/>
    <col min="2" max="2" width="14.85546875" customWidth="1"/>
    <col min="3" max="3" width="12.140625" style="1" customWidth="1"/>
    <col min="4" max="4" width="25.42578125" style="1" customWidth="1"/>
    <col min="5" max="5" width="18.85546875" customWidth="1"/>
    <col min="6" max="6" width="19.28515625" customWidth="1"/>
    <col min="7" max="7" width="18.7109375" customWidth="1"/>
    <col min="8" max="8" width="16.85546875" customWidth="1"/>
    <col min="9" max="9" width="13.28515625" style="1" customWidth="1"/>
    <col min="10" max="12" width="12.7109375" customWidth="1"/>
    <col min="13" max="13" width="13.7109375" customWidth="1"/>
    <col min="14" max="14" width="12" customWidth="1"/>
    <col min="15" max="15" width="8.28515625" customWidth="1"/>
    <col min="16" max="16" width="8" customWidth="1"/>
    <col min="17" max="17" width="11.85546875" customWidth="1"/>
    <col min="18" max="18" width="11.5703125" customWidth="1"/>
    <col min="19" max="20" width="15" customWidth="1"/>
    <col min="21" max="21" width="8.28515625" customWidth="1"/>
    <col min="22" max="22" width="13.7109375" customWidth="1"/>
  </cols>
  <sheetData>
    <row r="1" spans="1:12" ht="19.5" customHeight="1" x14ac:dyDescent="0.25">
      <c r="B1" s="17" t="s">
        <v>3</v>
      </c>
      <c r="D1" s="88" t="s">
        <v>6</v>
      </c>
      <c r="E1" s="88"/>
      <c r="F1" s="88"/>
      <c r="G1" s="88"/>
      <c r="H1" s="88"/>
      <c r="I1"/>
    </row>
    <row r="2" spans="1:12" ht="15.75" x14ac:dyDescent="0.25">
      <c r="D2" s="4" t="s">
        <v>35</v>
      </c>
      <c r="I2"/>
    </row>
    <row r="3" spans="1:12" x14ac:dyDescent="0.25">
      <c r="C3"/>
      <c r="I3"/>
    </row>
    <row r="4" spans="1:12" x14ac:dyDescent="0.25">
      <c r="C4" s="10"/>
      <c r="D4" s="10" t="s">
        <v>52</v>
      </c>
      <c r="E4" s="10"/>
      <c r="F4" s="10"/>
      <c r="G4" s="10"/>
      <c r="H4" s="10"/>
      <c r="I4" s="10"/>
      <c r="J4" s="10"/>
      <c r="K4" s="10"/>
      <c r="L4" s="10"/>
    </row>
    <row r="5" spans="1:12" x14ac:dyDescent="0.25">
      <c r="C5" s="10"/>
      <c r="D5" s="10" t="s">
        <v>7</v>
      </c>
      <c r="E5" s="79">
        <v>75</v>
      </c>
      <c r="F5" s="10"/>
      <c r="G5" s="10"/>
      <c r="H5" s="10"/>
      <c r="I5" s="10"/>
      <c r="J5" s="10"/>
      <c r="K5" s="10"/>
      <c r="L5" s="10"/>
    </row>
    <row r="6" spans="1:12" x14ac:dyDescent="0.25">
      <c r="A6" s="1"/>
      <c r="E6" s="10"/>
      <c r="F6" s="10"/>
      <c r="G6" s="77"/>
      <c r="H6" s="77"/>
      <c r="I6" s="10"/>
      <c r="J6" s="10"/>
      <c r="K6" s="10"/>
      <c r="L6" s="10"/>
    </row>
    <row r="7" spans="1:12" ht="15.75" x14ac:dyDescent="0.25">
      <c r="A7" s="1"/>
      <c r="B7" s="1"/>
      <c r="C7"/>
      <c r="D7" s="16" t="s">
        <v>13</v>
      </c>
      <c r="G7" s="1"/>
      <c r="I7"/>
      <c r="J7" s="1"/>
      <c r="K7" s="1"/>
      <c r="L7" s="1"/>
    </row>
    <row r="8" spans="1:12" ht="30" x14ac:dyDescent="0.25">
      <c r="A8" s="1"/>
      <c r="B8" s="1"/>
      <c r="C8"/>
      <c r="D8" s="43" t="s">
        <v>10</v>
      </c>
      <c r="E8" s="44" t="s">
        <v>11</v>
      </c>
      <c r="F8" s="74" t="s">
        <v>1</v>
      </c>
      <c r="G8" s="75" t="s">
        <v>49</v>
      </c>
      <c r="H8" s="74" t="s">
        <v>0</v>
      </c>
      <c r="J8" s="1"/>
      <c r="K8" s="1"/>
    </row>
    <row r="9" spans="1:12" x14ac:dyDescent="0.25">
      <c r="A9" s="1"/>
      <c r="B9" s="1"/>
      <c r="C9"/>
      <c r="D9" s="14">
        <v>100</v>
      </c>
      <c r="E9" s="12">
        <f t="shared" ref="E9:F13" si="0">E24/$E$5</f>
        <v>133.33333333333334</v>
      </c>
      <c r="F9" s="67">
        <f t="shared" si="0"/>
        <v>20</v>
      </c>
      <c r="G9" s="20">
        <f>IF(D9*0.01&lt;=1,1,D9*0.01)+E9*0.3%</f>
        <v>1.4</v>
      </c>
      <c r="H9" s="48">
        <f>IF(E9*0.2%&lt;=10,10,E9*0.2%)</f>
        <v>10</v>
      </c>
      <c r="J9" s="1"/>
      <c r="K9" s="1"/>
    </row>
    <row r="10" spans="1:12" x14ac:dyDescent="0.25">
      <c r="C10"/>
      <c r="D10" s="14">
        <v>5000</v>
      </c>
      <c r="E10" s="12">
        <f t="shared" si="0"/>
        <v>6666.666666666667</v>
      </c>
      <c r="F10" s="67">
        <f t="shared" si="0"/>
        <v>20</v>
      </c>
      <c r="G10" s="19">
        <f>IF(D10*0.01&lt;=1,1,D10*0.01)+E10*0.3%</f>
        <v>70</v>
      </c>
      <c r="H10" s="48">
        <f>IF(E10*0.2%&lt;=10,10,E10*0.2%)</f>
        <v>13.333333333333334</v>
      </c>
      <c r="J10" s="1"/>
      <c r="K10" s="1"/>
    </row>
    <row r="11" spans="1:12" x14ac:dyDescent="0.25">
      <c r="C11"/>
      <c r="D11" s="14">
        <v>20000</v>
      </c>
      <c r="E11" s="12">
        <f t="shared" si="0"/>
        <v>26666.666666666668</v>
      </c>
      <c r="F11" s="67">
        <f t="shared" si="0"/>
        <v>53.333333333333336</v>
      </c>
      <c r="G11" s="19">
        <f>IF(D11*0.01&lt;=1,1,D11*0.01)+E11*0.3%</f>
        <v>280</v>
      </c>
      <c r="H11" s="48">
        <f>IF(E11*0.2%&lt;=10,10,E11*0.2%)</f>
        <v>53.333333333333336</v>
      </c>
      <c r="J11" s="1"/>
      <c r="K11" s="1"/>
    </row>
    <row r="12" spans="1:12" x14ac:dyDescent="0.25">
      <c r="C12"/>
      <c r="D12" s="14">
        <v>100000</v>
      </c>
      <c r="E12" s="12">
        <f t="shared" si="0"/>
        <v>666666.66666666663</v>
      </c>
      <c r="F12" s="67">
        <f t="shared" si="0"/>
        <v>1333.3333333333333</v>
      </c>
      <c r="G12" s="93">
        <f>E12*0.2%+D12*0.01</f>
        <v>2333.333333333333</v>
      </c>
      <c r="H12" s="48">
        <f>IF(E12*0.2%&lt;=10,10,E12*0.2%)</f>
        <v>1333.3333333333333</v>
      </c>
      <c r="J12" s="1"/>
      <c r="K12" s="1"/>
    </row>
    <row r="13" spans="1:12" ht="18" customHeight="1" x14ac:dyDescent="0.25">
      <c r="A13" s="1"/>
      <c r="B13" s="1"/>
      <c r="C13"/>
      <c r="D13" s="14">
        <v>1000000</v>
      </c>
      <c r="E13" s="12">
        <f t="shared" si="0"/>
        <v>1333333.3333333333</v>
      </c>
      <c r="F13" s="67">
        <f t="shared" si="0"/>
        <v>2666.6666666666665</v>
      </c>
      <c r="G13" s="19">
        <f>E13*0.15%+D13*0.01</f>
        <v>12000</v>
      </c>
      <c r="H13" s="48">
        <f>IF(E13*0.2%&lt;=10,10,E13*0.2%)</f>
        <v>2666.6666666666665</v>
      </c>
      <c r="J13" s="1"/>
      <c r="K13" s="1"/>
    </row>
    <row r="14" spans="1:12" ht="18" customHeight="1" x14ac:dyDescent="0.25">
      <c r="A14" s="1"/>
      <c r="D14" s="22" t="s">
        <v>17</v>
      </c>
      <c r="E14" s="90" t="s">
        <v>54</v>
      </c>
      <c r="F14" s="25"/>
      <c r="G14" s="27"/>
      <c r="H14" s="28"/>
      <c r="J14" s="1"/>
      <c r="K14" s="1"/>
    </row>
    <row r="15" spans="1:12" ht="18" customHeight="1" x14ac:dyDescent="0.25">
      <c r="A15" s="1"/>
      <c r="B15" s="1"/>
      <c r="D15" s="29" t="s">
        <v>36</v>
      </c>
      <c r="E15" s="23"/>
      <c r="F15" s="42"/>
      <c r="G15" s="23"/>
      <c r="H15" s="23"/>
      <c r="J15" s="1"/>
      <c r="K15" s="1"/>
    </row>
    <row r="16" spans="1:12" ht="18" customHeight="1" x14ac:dyDescent="0.25">
      <c r="A16" s="1"/>
      <c r="B16" s="1"/>
      <c r="C16" s="2"/>
      <c r="D16" s="29" t="s">
        <v>15</v>
      </c>
      <c r="E16" s="23"/>
      <c r="F16" s="42"/>
      <c r="G16" s="24"/>
      <c r="H16" s="23"/>
      <c r="J16" s="1"/>
      <c r="K16" s="1"/>
    </row>
    <row r="17" spans="1:11" ht="18" customHeight="1" x14ac:dyDescent="0.25">
      <c r="A17" s="1"/>
      <c r="B17" s="1"/>
      <c r="C17" s="2"/>
      <c r="D17" s="87" t="s">
        <v>51</v>
      </c>
      <c r="E17" s="83"/>
      <c r="F17" s="84"/>
      <c r="G17" s="24"/>
      <c r="H17" s="23"/>
      <c r="J17" s="1"/>
      <c r="K17" s="1"/>
    </row>
    <row r="18" spans="1:11" ht="18" customHeight="1" x14ac:dyDescent="0.25">
      <c r="A18" s="1"/>
      <c r="B18" s="1"/>
      <c r="C18" s="2"/>
      <c r="D18" s="87" t="s">
        <v>50</v>
      </c>
      <c r="E18" s="83"/>
      <c r="F18" s="84"/>
      <c r="G18" s="24"/>
      <c r="H18" s="23"/>
      <c r="J18" s="1"/>
      <c r="K18" s="1"/>
    </row>
    <row r="19" spans="1:11" x14ac:dyDescent="0.25">
      <c r="A19" s="1"/>
      <c r="B19" s="1"/>
      <c r="C19" s="2"/>
      <c r="D19" s="18" t="s">
        <v>42</v>
      </c>
      <c r="E19" s="5"/>
      <c r="F19" s="15"/>
      <c r="G19" s="13"/>
      <c r="H19" s="5"/>
      <c r="J19" s="1"/>
      <c r="K19" s="1"/>
    </row>
    <row r="20" spans="1:11" ht="21.75" customHeight="1" x14ac:dyDescent="0.25">
      <c r="A20" s="1"/>
      <c r="B20" s="1"/>
      <c r="C20" s="2"/>
      <c r="D20" s="55" t="s">
        <v>41</v>
      </c>
      <c r="E20" s="45">
        <f>SUM(E15:E19)</f>
        <v>0</v>
      </c>
      <c r="F20" s="45">
        <f>SUM(F15:F19)-F18</f>
        <v>0</v>
      </c>
      <c r="G20" s="45">
        <f>SUM(G15:G19)</f>
        <v>0</v>
      </c>
      <c r="H20" s="45">
        <f>SUM(H15:H19)</f>
        <v>0</v>
      </c>
      <c r="J20" s="1"/>
      <c r="K20" s="1"/>
    </row>
    <row r="21" spans="1:11" x14ac:dyDescent="0.25">
      <c r="A21" s="1"/>
      <c r="B21" s="1"/>
      <c r="C21" s="2"/>
      <c r="D21" s="2"/>
      <c r="E21" s="2"/>
      <c r="F21" s="2"/>
      <c r="G21" s="2"/>
      <c r="H21" s="2"/>
      <c r="J21" s="1"/>
      <c r="K21" s="1"/>
    </row>
    <row r="22" spans="1:11" ht="15.75" x14ac:dyDescent="0.25">
      <c r="A22" s="1"/>
      <c r="B22" s="1"/>
      <c r="C22"/>
      <c r="D22" s="16" t="s">
        <v>8</v>
      </c>
      <c r="E22" s="10"/>
      <c r="G22" s="10"/>
      <c r="H22" s="10"/>
      <c r="J22" s="1"/>
      <c r="K22" s="1"/>
    </row>
    <row r="23" spans="1:11" ht="31.5" customHeight="1" x14ac:dyDescent="0.25">
      <c r="A23" s="1"/>
      <c r="B23" s="1"/>
      <c r="C23"/>
      <c r="D23" s="43" t="s">
        <v>10</v>
      </c>
      <c r="E23" s="44" t="s">
        <v>11</v>
      </c>
      <c r="F23" s="74" t="s">
        <v>1</v>
      </c>
      <c r="G23" s="75" t="s">
        <v>49</v>
      </c>
      <c r="H23" s="74" t="s">
        <v>0</v>
      </c>
      <c r="J23" s="1"/>
      <c r="K23" s="1"/>
    </row>
    <row r="24" spans="1:11" ht="18" customHeight="1" x14ac:dyDescent="0.25">
      <c r="A24" s="1"/>
      <c r="C24" s="81"/>
      <c r="D24" s="14">
        <f t="shared" ref="D24:D25" si="1">E24/100</f>
        <v>100</v>
      </c>
      <c r="E24" s="12">
        <v>10000</v>
      </c>
      <c r="F24" s="67">
        <f>IF(E24*0.2%&lt;=1500,1500,E24*0.2%)+F32</f>
        <v>1500</v>
      </c>
      <c r="G24" s="82">
        <f t="shared" ref="G24:H28" si="2">G9*$E$5</f>
        <v>105</v>
      </c>
      <c r="H24" s="48">
        <f t="shared" si="2"/>
        <v>750</v>
      </c>
      <c r="J24" s="1"/>
      <c r="K24" s="1"/>
    </row>
    <row r="25" spans="1:11" ht="18" customHeight="1" x14ac:dyDescent="0.25">
      <c r="A25" s="1"/>
      <c r="B25" s="1"/>
      <c r="C25"/>
      <c r="D25" s="14">
        <f t="shared" si="1"/>
        <v>5000</v>
      </c>
      <c r="E25" s="12">
        <v>500000</v>
      </c>
      <c r="F25" s="67">
        <f>IF(E25*0.2%&lt;=1500,1500,E25*0.2%)</f>
        <v>1500</v>
      </c>
      <c r="G25" s="59">
        <f t="shared" si="2"/>
        <v>5250</v>
      </c>
      <c r="H25" s="48">
        <f t="shared" si="2"/>
        <v>1000</v>
      </c>
      <c r="J25" s="1"/>
      <c r="K25" s="1"/>
    </row>
    <row r="26" spans="1:11" ht="18" customHeight="1" x14ac:dyDescent="0.25">
      <c r="A26" s="1"/>
      <c r="C26"/>
      <c r="D26" s="14">
        <f>E26/100</f>
        <v>20000</v>
      </c>
      <c r="E26" s="12">
        <v>2000000</v>
      </c>
      <c r="F26" s="67">
        <f t="shared" ref="F26:F28" si="3">IF(E26*0.2%&lt;=1500,1500,E26*0.2%)</f>
        <v>4000</v>
      </c>
      <c r="G26" s="59">
        <f t="shared" si="2"/>
        <v>21000</v>
      </c>
      <c r="H26" s="48">
        <f t="shared" si="2"/>
        <v>4000</v>
      </c>
      <c r="J26" s="1"/>
      <c r="K26" s="1"/>
    </row>
    <row r="27" spans="1:11" ht="18" customHeight="1" x14ac:dyDescent="0.25">
      <c r="A27" s="1"/>
      <c r="B27" s="1"/>
      <c r="C27"/>
      <c r="D27" s="14">
        <f>E27/100</f>
        <v>500000</v>
      </c>
      <c r="E27" s="12">
        <v>50000000</v>
      </c>
      <c r="F27" s="67">
        <f t="shared" si="3"/>
        <v>100000</v>
      </c>
      <c r="G27" s="59">
        <f t="shared" si="2"/>
        <v>174999.99999999997</v>
      </c>
      <c r="H27" s="48">
        <f t="shared" si="2"/>
        <v>100000</v>
      </c>
      <c r="J27" s="1"/>
      <c r="K27" s="1"/>
    </row>
    <row r="28" spans="1:11" x14ac:dyDescent="0.25">
      <c r="A28" s="1"/>
      <c r="C28"/>
      <c r="D28" s="14">
        <f>E28/100</f>
        <v>1000000</v>
      </c>
      <c r="E28" s="12">
        <v>100000000</v>
      </c>
      <c r="F28" s="67">
        <f t="shared" si="3"/>
        <v>200000</v>
      </c>
      <c r="G28" s="59">
        <f t="shared" si="2"/>
        <v>900000</v>
      </c>
      <c r="H28" s="48">
        <f t="shared" si="2"/>
        <v>200000</v>
      </c>
      <c r="J28" s="1"/>
      <c r="K28" s="1"/>
    </row>
    <row r="29" spans="1:11" ht="18" customHeight="1" x14ac:dyDescent="0.25">
      <c r="A29" s="1"/>
      <c r="B29" s="1"/>
      <c r="D29" s="29" t="s">
        <v>36</v>
      </c>
      <c r="E29" s="90" t="s">
        <v>54</v>
      </c>
      <c r="F29" s="42"/>
      <c r="G29" s="23"/>
      <c r="H29" s="23"/>
      <c r="J29" s="1"/>
      <c r="K29" s="1"/>
    </row>
    <row r="30" spans="1:11" ht="18" customHeight="1" x14ac:dyDescent="0.25">
      <c r="A30" s="1"/>
      <c r="B30" s="1"/>
      <c r="C30" s="2"/>
      <c r="D30" s="29" t="s">
        <v>15</v>
      </c>
      <c r="E30" s="23"/>
      <c r="F30" s="42"/>
      <c r="G30" s="24"/>
      <c r="H30" s="23"/>
      <c r="J30" s="1"/>
      <c r="K30" s="1"/>
    </row>
    <row r="31" spans="1:11" ht="18" customHeight="1" x14ac:dyDescent="0.25">
      <c r="A31" s="1"/>
      <c r="B31" s="1"/>
      <c r="C31" s="2"/>
      <c r="D31" s="29" t="s">
        <v>51</v>
      </c>
      <c r="E31" s="23"/>
      <c r="F31" s="42"/>
      <c r="G31" s="24"/>
      <c r="H31" s="23"/>
      <c r="J31" s="1"/>
      <c r="K31" s="1"/>
    </row>
    <row r="32" spans="1:11" ht="18" customHeight="1" x14ac:dyDescent="0.25">
      <c r="A32" s="1"/>
      <c r="B32" s="1"/>
      <c r="C32" s="2"/>
      <c r="D32" s="87" t="s">
        <v>50</v>
      </c>
      <c r="E32" s="83"/>
      <c r="F32" s="80"/>
      <c r="G32" s="24"/>
      <c r="H32" s="23"/>
      <c r="J32" s="1"/>
      <c r="K32" s="1"/>
    </row>
    <row r="33" spans="1:13" x14ac:dyDescent="0.25">
      <c r="A33" s="1"/>
      <c r="B33" s="1"/>
      <c r="C33" s="2"/>
      <c r="D33" s="18" t="s">
        <v>42</v>
      </c>
      <c r="E33" s="5"/>
      <c r="F33" s="15"/>
      <c r="G33" s="13"/>
      <c r="H33" s="5"/>
      <c r="J33" s="1"/>
      <c r="K33" s="1"/>
    </row>
    <row r="34" spans="1:13" x14ac:dyDescent="0.25">
      <c r="B34" s="1"/>
      <c r="C34" s="2"/>
      <c r="D34" s="55" t="s">
        <v>41</v>
      </c>
      <c r="E34" s="45">
        <f>E20/$E$5</f>
        <v>0</v>
      </c>
      <c r="F34" s="45">
        <f>F20*E5</f>
        <v>0</v>
      </c>
      <c r="G34" s="45">
        <f>G20/$E$5</f>
        <v>0</v>
      </c>
      <c r="H34" s="45">
        <f>H20/$E$5</f>
        <v>0</v>
      </c>
      <c r="J34" s="1"/>
      <c r="K34" s="1"/>
      <c r="L34" s="10"/>
      <c r="M34" s="10"/>
    </row>
    <row r="35" spans="1:13" x14ac:dyDescent="0.25">
      <c r="B35" s="1"/>
      <c r="C35"/>
      <c r="D35"/>
      <c r="J35" s="76"/>
      <c r="K35" s="1"/>
      <c r="L35" s="10"/>
      <c r="M35" s="10"/>
    </row>
    <row r="36" spans="1:13" x14ac:dyDescent="0.25">
      <c r="A36" s="1"/>
      <c r="D36" s="40" t="s">
        <v>37</v>
      </c>
      <c r="J36" s="1"/>
      <c r="K36" s="1"/>
      <c r="L36" s="10"/>
      <c r="M36" s="10"/>
    </row>
    <row r="37" spans="1:13" ht="31.5" customHeight="1" x14ac:dyDescent="0.25">
      <c r="B37" s="10"/>
      <c r="D37" s="50" t="s">
        <v>44</v>
      </c>
      <c r="E37" s="50" t="s">
        <v>43</v>
      </c>
      <c r="F37" s="74" t="s">
        <v>1</v>
      </c>
      <c r="G37" s="75" t="s">
        <v>49</v>
      </c>
      <c r="H37" s="74" t="s">
        <v>0</v>
      </c>
      <c r="J37" s="1"/>
      <c r="K37" s="1"/>
      <c r="L37" s="10"/>
      <c r="M37" s="10"/>
    </row>
    <row r="38" spans="1:13" x14ac:dyDescent="0.25">
      <c r="A38" s="1"/>
      <c r="C38" s="2"/>
      <c r="D38" s="49" t="s">
        <v>38</v>
      </c>
      <c r="E38" s="12">
        <v>500000</v>
      </c>
      <c r="F38" s="91">
        <f>(F24+F34)/$E$24</f>
        <v>0.15</v>
      </c>
      <c r="G38" s="92">
        <f>(G24+G34)/$E$24</f>
        <v>1.0500000000000001E-2</v>
      </c>
      <c r="H38" s="47">
        <f>(H24+H34)/$E$24</f>
        <v>7.4999999999999997E-2</v>
      </c>
      <c r="J38" s="1"/>
      <c r="K38" s="1"/>
    </row>
    <row r="39" spans="1:13" x14ac:dyDescent="0.25">
      <c r="A39" s="1"/>
      <c r="C39" s="2"/>
      <c r="D39" s="49" t="s">
        <v>39</v>
      </c>
      <c r="E39" s="12">
        <f>E28</f>
        <v>100000000</v>
      </c>
      <c r="F39" s="92">
        <f>(F28+F34)/$E$28</f>
        <v>2E-3</v>
      </c>
      <c r="G39" s="91">
        <f t="shared" ref="G39:H39" si="4">(G28+G34)/$E$28</f>
        <v>8.9999999999999993E-3</v>
      </c>
      <c r="H39" s="53">
        <f t="shared" si="4"/>
        <v>2E-3</v>
      </c>
      <c r="J39" s="1"/>
      <c r="K39" s="1"/>
    </row>
    <row r="40" spans="1:13" x14ac:dyDescent="0.25">
      <c r="C40" s="2"/>
      <c r="D40"/>
      <c r="G40" s="1"/>
      <c r="I40"/>
      <c r="J40" s="1"/>
      <c r="K40" s="1"/>
      <c r="L40" s="1"/>
    </row>
    <row r="41" spans="1:13" x14ac:dyDescent="0.25">
      <c r="J41" s="1"/>
      <c r="K41" s="1"/>
      <c r="L41" s="1"/>
    </row>
    <row r="42" spans="1:13" x14ac:dyDescent="0.25">
      <c r="C42" s="78" t="s">
        <v>53</v>
      </c>
      <c r="D42" t="s">
        <v>16</v>
      </c>
      <c r="J42" s="1"/>
      <c r="K42" s="1"/>
      <c r="L42" s="1"/>
    </row>
    <row r="43" spans="1:13" ht="18" customHeight="1" x14ac:dyDescent="0.25">
      <c r="A43" s="1"/>
      <c r="B43" s="1"/>
      <c r="E43" s="1"/>
      <c r="F43" s="1"/>
      <c r="G43" s="1"/>
      <c r="H43" s="1"/>
      <c r="J43" s="1"/>
      <c r="K43" s="1"/>
      <c r="L43" s="1"/>
    </row>
    <row r="44" spans="1:13" ht="18" customHeight="1" x14ac:dyDescent="0.25">
      <c r="A44" s="1"/>
      <c r="E44" s="1"/>
      <c r="F44" s="1"/>
      <c r="G44" s="1"/>
      <c r="H44" s="1"/>
      <c r="J44" s="1"/>
      <c r="K44" s="1"/>
      <c r="L44" s="1"/>
    </row>
    <row r="45" spans="1:13" ht="18" customHeight="1" x14ac:dyDescent="0.25">
      <c r="A45" s="1"/>
      <c r="B45" s="1"/>
      <c r="E45" s="1"/>
      <c r="F45" s="1"/>
      <c r="G45" s="1"/>
      <c r="H45" s="1"/>
      <c r="J45" s="1"/>
      <c r="K45" s="1"/>
      <c r="L45" s="1"/>
    </row>
    <row r="46" spans="1:13" ht="18" customHeight="1" x14ac:dyDescent="0.25">
      <c r="A46" s="1"/>
      <c r="E46" s="1"/>
      <c r="F46" s="1"/>
      <c r="G46" s="1"/>
      <c r="H46" s="1"/>
      <c r="J46" s="1"/>
      <c r="K46" s="1"/>
      <c r="L46" s="1"/>
    </row>
    <row r="47" spans="1:13" ht="20.25" customHeight="1" x14ac:dyDescent="0.25">
      <c r="A47" s="1"/>
      <c r="E47" s="1"/>
      <c r="F47" s="1"/>
      <c r="G47" s="1"/>
      <c r="H47" s="1"/>
      <c r="J47" s="1"/>
      <c r="K47" s="1"/>
      <c r="L47" s="1"/>
    </row>
    <row r="48" spans="1:13" x14ac:dyDescent="0.25">
      <c r="A48" s="1"/>
      <c r="E48" s="1"/>
      <c r="F48" s="1"/>
      <c r="G48" s="1"/>
      <c r="H48" s="1"/>
      <c r="J48" s="1"/>
      <c r="K48" s="1"/>
      <c r="L48" s="1"/>
    </row>
    <row r="49" spans="1:12" x14ac:dyDescent="0.25">
      <c r="A49" s="1"/>
      <c r="E49" s="1"/>
      <c r="F49" s="1"/>
      <c r="G49" s="1"/>
      <c r="H49" s="1"/>
      <c r="J49" s="1"/>
      <c r="K49" s="1"/>
      <c r="L49" s="1"/>
    </row>
    <row r="50" spans="1:12" x14ac:dyDescent="0.25">
      <c r="A50" s="1"/>
      <c r="E50" s="1"/>
      <c r="F50" s="1"/>
      <c r="G50" s="1"/>
      <c r="H50" s="1"/>
      <c r="J50" s="1"/>
      <c r="K50" s="1"/>
      <c r="L50" s="1"/>
    </row>
    <row r="51" spans="1:12" x14ac:dyDescent="0.25">
      <c r="A51" s="1"/>
      <c r="E51" s="1"/>
      <c r="F51" s="1"/>
      <c r="G51" s="1"/>
      <c r="H51" s="1"/>
      <c r="J51" s="1"/>
      <c r="K51" s="1"/>
      <c r="L51" s="1"/>
    </row>
    <row r="52" spans="1:12" x14ac:dyDescent="0.25">
      <c r="A52" s="1"/>
      <c r="E52" s="1"/>
      <c r="F52" s="1"/>
      <c r="G52" s="1"/>
      <c r="H52" s="1"/>
      <c r="J52" s="1"/>
      <c r="K52" s="1"/>
      <c r="L52" s="1"/>
    </row>
    <row r="53" spans="1:12" ht="18" customHeight="1" x14ac:dyDescent="0.25">
      <c r="A53" s="1"/>
      <c r="B53" s="1"/>
      <c r="E53" s="1"/>
      <c r="F53" s="1"/>
      <c r="G53" s="1"/>
      <c r="H53" s="1"/>
      <c r="J53" s="1"/>
      <c r="K53" s="1"/>
      <c r="L53" s="1"/>
    </row>
    <row r="54" spans="1:12" ht="18" customHeight="1" x14ac:dyDescent="0.25">
      <c r="A54" s="1"/>
      <c r="B54" s="1"/>
      <c r="E54" s="1"/>
      <c r="F54" s="1"/>
      <c r="G54" s="1"/>
      <c r="H54" s="1"/>
      <c r="J54" s="1"/>
      <c r="K54" s="1"/>
      <c r="L54" s="1"/>
    </row>
    <row r="55" spans="1:12" ht="18" customHeight="1" x14ac:dyDescent="0.25">
      <c r="A55" s="1"/>
      <c r="B55" s="1"/>
      <c r="E55" s="1"/>
      <c r="F55" s="1"/>
      <c r="G55" s="1"/>
      <c r="H55" s="1"/>
      <c r="J55" s="1"/>
      <c r="K55" s="1"/>
      <c r="L55" s="1"/>
    </row>
    <row r="56" spans="1:12" x14ac:dyDescent="0.25">
      <c r="E56" s="1"/>
      <c r="F56" s="1"/>
      <c r="G56" s="1"/>
      <c r="H56" s="1"/>
      <c r="J56" s="1"/>
      <c r="K56" s="1"/>
      <c r="L56" s="1"/>
    </row>
  </sheetData>
  <mergeCells count="1">
    <mergeCell ref="D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“BCS Professional”¹</vt:lpstr>
      <vt:lpstr>Navigator</vt:lpstr>
      <vt:lpstr>“BCS Expert”</vt:lpstr>
      <vt:lpstr>BCS Promo</vt:lpstr>
      <vt:lpstr>Intern Exchange</vt:lpstr>
      <vt:lpstr>Voice Trading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Gulyaeva</dc:creator>
  <cp:lastModifiedBy>Igor Zatseda</cp:lastModifiedBy>
  <dcterms:created xsi:type="dcterms:W3CDTF">2021-11-18T08:15:19Z</dcterms:created>
  <dcterms:modified xsi:type="dcterms:W3CDTF">2022-04-12T11:36:50Z</dcterms:modified>
</cp:coreProperties>
</file>